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755"/>
  </bookViews>
  <sheets>
    <sheet name="Bill 1 Preliminary &amp; General" sheetId="45" r:id="rId1"/>
    <sheet name="Bill 2 RBBT-SDB" sheetId="29" r:id="rId2"/>
    <sheet name="Bill 3 AR" sheetId="31" r:id="rId3"/>
    <sheet name="Bill 4 VFCW " sheetId="32" r:id="rId4"/>
    <sheet name="Bill 5 SWI" sheetId="43" r:id="rId5"/>
    <sheet name="Bill 6 OS" sheetId="35" r:id="rId6"/>
    <sheet name="Bill 7 Site &amp; AW" sheetId="23" r:id="rId7"/>
    <sheet name="SUMMARY" sheetId="11" r:id="rId8"/>
  </sheets>
  <definedNames>
    <definedName name="_xlnm.Print_Area" localSheetId="0">'Bill 1 Preliminary &amp; General'!$A$1:$K$16</definedName>
    <definedName name="_xlnm.Print_Area" localSheetId="1">'Bill 2 RBBT-SDB'!$A$1:$K$175</definedName>
    <definedName name="_xlnm.Print_Area" localSheetId="2">'Bill 3 AR'!$A$1:$K$176</definedName>
    <definedName name="_xlnm.Print_Area" localSheetId="3">'Bill 4 VFCW '!$A$1:$K$152</definedName>
    <definedName name="_xlnm.Print_Area" localSheetId="4">'Bill 5 SWI'!$A$1:$K$170</definedName>
    <definedName name="_xlnm.Print_Area" localSheetId="5">'Bill 6 OS'!$A$1:$K$231</definedName>
    <definedName name="_xlnm.Print_Area" localSheetId="6">'Bill 7 Site &amp; AW'!$A$1:$K$74</definedName>
    <definedName name="_xlnm.Print_Area" localSheetId="7">SUMMARY!$A$1:$C$19</definedName>
    <definedName name="_xlnm.Print_Titles" localSheetId="0">'Bill 1 Preliminary &amp; General'!$2:$3</definedName>
    <definedName name="_xlnm.Print_Titles" localSheetId="1">'Bill 2 RBBT-SDB'!$2:$3</definedName>
    <definedName name="_xlnm.Print_Titles" localSheetId="2">'Bill 3 AR'!$2:$3</definedName>
    <definedName name="_xlnm.Print_Titles" localSheetId="3">'Bill 4 VFCW '!$2:$3</definedName>
    <definedName name="_xlnm.Print_Titles" localSheetId="4">'Bill 5 SWI'!$2:$3</definedName>
    <definedName name="_xlnm.Print_Titles" localSheetId="5">'Bill 6 OS'!$2:$3</definedName>
  </definedNames>
  <calcPr calcId="162913"/>
</workbook>
</file>

<file path=xl/calcChain.xml><?xml version="1.0" encoding="utf-8"?>
<calcChain xmlns="http://schemas.openxmlformats.org/spreadsheetml/2006/main">
  <c r="K11" i="45" l="1"/>
  <c r="K7" i="45" l="1"/>
  <c r="I57" i="31"/>
  <c r="D44" i="29"/>
  <c r="I9" i="45" l="1"/>
  <c r="K9" i="45" s="1"/>
  <c r="K13" i="45" s="1"/>
  <c r="E89" i="31"/>
  <c r="D89" i="31"/>
  <c r="I89" i="31" s="1"/>
  <c r="K89" i="31" s="1"/>
  <c r="K57" i="31"/>
  <c r="I43" i="31"/>
  <c r="I47" i="31" s="1"/>
  <c r="I51" i="31" s="1"/>
  <c r="D101" i="31"/>
  <c r="E55" i="31"/>
  <c r="D55" i="31"/>
  <c r="I55" i="31" s="1"/>
  <c r="K15" i="45" l="1"/>
  <c r="F75" i="29"/>
  <c r="K111" i="32" l="1"/>
  <c r="K109" i="32"/>
  <c r="K139" i="31" l="1"/>
  <c r="G86" i="31" l="1"/>
  <c r="I49" i="31"/>
  <c r="K117" i="32"/>
  <c r="F11" i="29" l="1"/>
  <c r="E9" i="23"/>
  <c r="I23" i="23" s="1"/>
  <c r="I127" i="32" l="1"/>
  <c r="K147" i="32"/>
  <c r="D171" i="31"/>
  <c r="I171" i="31" s="1"/>
  <c r="K171" i="31" s="1"/>
  <c r="I167" i="31"/>
  <c r="K167" i="31" s="1"/>
  <c r="I143" i="31"/>
  <c r="I155" i="31"/>
  <c r="F135" i="31"/>
  <c r="E135" i="31"/>
  <c r="D135" i="31"/>
  <c r="E133" i="31"/>
  <c r="I133" i="31" s="1"/>
  <c r="E123" i="31"/>
  <c r="E75" i="31"/>
  <c r="D75" i="31"/>
  <c r="D123" i="31"/>
  <c r="E101" i="31"/>
  <c r="I101" i="31" s="1"/>
  <c r="I53" i="31"/>
  <c r="K49" i="31"/>
  <c r="K173" i="31" l="1"/>
  <c r="I75" i="31"/>
  <c r="K75" i="31" s="1"/>
  <c r="I135" i="31"/>
  <c r="I123" i="31"/>
  <c r="K123" i="31" s="1"/>
  <c r="K55" i="31" l="1"/>
  <c r="K53" i="31"/>
  <c r="I166" i="29"/>
  <c r="K166" i="29" s="1"/>
  <c r="E168" i="29"/>
  <c r="E170" i="29" s="1"/>
  <c r="D168" i="29"/>
  <c r="F163" i="29"/>
  <c r="F162" i="29"/>
  <c r="E17" i="29"/>
  <c r="K154" i="29"/>
  <c r="I131" i="29"/>
  <c r="K131" i="29" s="1"/>
  <c r="I125" i="29"/>
  <c r="K125" i="29" s="1"/>
  <c r="K129" i="29"/>
  <c r="K127" i="29"/>
  <c r="D111" i="29"/>
  <c r="D91" i="29"/>
  <c r="E66" i="29"/>
  <c r="D12" i="29"/>
  <c r="E30" i="29"/>
  <c r="D43" i="29"/>
  <c r="F31" i="29"/>
  <c r="D30" i="29"/>
  <c r="E11" i="29"/>
  <c r="D11" i="29"/>
  <c r="I168" i="29" l="1"/>
  <c r="K168" i="29" s="1"/>
  <c r="I162" i="29"/>
  <c r="K162" i="29" s="1"/>
  <c r="D170" i="29"/>
  <c r="I170" i="29" s="1"/>
  <c r="K170" i="29" s="1"/>
  <c r="I11" i="29"/>
  <c r="I17" i="29" s="1"/>
  <c r="K172" i="29" l="1"/>
  <c r="E111" i="29"/>
  <c r="I111" i="29" s="1"/>
  <c r="E18" i="35" l="1"/>
  <c r="D18" i="35"/>
  <c r="E18" i="43"/>
  <c r="D18" i="43"/>
  <c r="G17" i="35"/>
  <c r="G17" i="43"/>
  <c r="K93" i="32"/>
  <c r="I91" i="32"/>
  <c r="I33" i="32"/>
  <c r="I87" i="32"/>
  <c r="I85" i="32"/>
  <c r="I145" i="31" l="1"/>
  <c r="E104" i="31"/>
  <c r="D104" i="31"/>
  <c r="F104" i="31"/>
  <c r="E103" i="31"/>
  <c r="D103" i="31"/>
  <c r="D86" i="31"/>
  <c r="H86" i="31" s="1"/>
  <c r="D85" i="31"/>
  <c r="H85" i="31" s="1"/>
  <c r="F67" i="31"/>
  <c r="I67" i="31" s="1"/>
  <c r="D21" i="31"/>
  <c r="D19" i="31"/>
  <c r="F19" i="31"/>
  <c r="D17" i="31"/>
  <c r="F17" i="31"/>
  <c r="E17" i="31"/>
  <c r="F11" i="31"/>
  <c r="E11" i="31"/>
  <c r="D11" i="31"/>
  <c r="I93" i="29"/>
  <c r="I91" i="29"/>
  <c r="E87" i="29"/>
  <c r="G75" i="29"/>
  <c r="E75" i="29"/>
  <c r="D75" i="29"/>
  <c r="E31" i="29"/>
  <c r="D31" i="29"/>
  <c r="F43" i="29"/>
  <c r="I47" i="29"/>
  <c r="I61" i="29"/>
  <c r="I75" i="29" l="1"/>
  <c r="I79" i="29" s="1"/>
  <c r="I31" i="29"/>
  <c r="K31" i="29" s="1"/>
  <c r="I103" i="31"/>
  <c r="I119" i="31" s="1"/>
  <c r="I17" i="31"/>
  <c r="K121" i="29" l="1"/>
  <c r="F107" i="29"/>
  <c r="E89" i="29"/>
  <c r="D89" i="29"/>
  <c r="E107" i="29"/>
  <c r="D87" i="29"/>
  <c r="D88" i="29"/>
  <c r="D107" i="29" l="1"/>
  <c r="I107" i="29" s="1"/>
  <c r="I87" i="29"/>
  <c r="I89" i="29"/>
  <c r="E23" i="31"/>
  <c r="D23" i="31"/>
  <c r="K143" i="31"/>
  <c r="D91" i="31"/>
  <c r="I23" i="31" l="1"/>
  <c r="K23" i="31" s="1"/>
  <c r="H91" i="31"/>
  <c r="I85" i="31" l="1"/>
  <c r="I93" i="31" s="1"/>
  <c r="E21" i="31"/>
  <c r="I21" i="31" s="1"/>
  <c r="E19" i="31"/>
  <c r="I19" i="31" s="1"/>
  <c r="I27" i="31" l="1"/>
  <c r="I31" i="31"/>
  <c r="I29" i="31"/>
  <c r="I11" i="31"/>
  <c r="I35" i="31" s="1"/>
  <c r="I25" i="31" l="1"/>
  <c r="D65" i="29"/>
  <c r="I65" i="29" s="1"/>
  <c r="E43" i="29"/>
  <c r="E29" i="29"/>
  <c r="I43" i="29" l="1"/>
  <c r="I45" i="29"/>
  <c r="I61" i="31"/>
  <c r="I50" i="29"/>
  <c r="I51" i="29"/>
  <c r="I63" i="43"/>
  <c r="K63" i="43" s="1"/>
  <c r="I49" i="43"/>
  <c r="K49" i="43" s="1"/>
  <c r="I19" i="29" l="1"/>
  <c r="I23" i="29"/>
  <c r="I21" i="29"/>
  <c r="K21" i="29" s="1"/>
  <c r="I25" i="29"/>
  <c r="K125" i="35"/>
  <c r="I49" i="32"/>
  <c r="I43" i="32"/>
  <c r="I47" i="32"/>
  <c r="I53" i="32" s="1"/>
  <c r="K33" i="32"/>
  <c r="I35" i="32"/>
  <c r="I71" i="32"/>
  <c r="K71" i="32" s="1"/>
  <c r="K137" i="31"/>
  <c r="K159" i="31"/>
  <c r="I143" i="32"/>
  <c r="K143" i="32" s="1"/>
  <c r="I141" i="32"/>
  <c r="I135" i="32"/>
  <c r="K119" i="32"/>
  <c r="K115" i="32"/>
  <c r="I99" i="32"/>
  <c r="K99" i="32" s="1"/>
  <c r="I97" i="32"/>
  <c r="K97" i="32" s="1"/>
  <c r="I89" i="32"/>
  <c r="K87" i="32"/>
  <c r="K85" i="32"/>
  <c r="I95" i="32" l="1"/>
  <c r="K95" i="32" s="1"/>
  <c r="I75" i="32"/>
  <c r="K75" i="32" s="1"/>
  <c r="K77" i="32" s="1"/>
  <c r="I57" i="32"/>
  <c r="K57" i="32" s="1"/>
  <c r="K53" i="32"/>
  <c r="K43" i="32"/>
  <c r="K35" i="32"/>
  <c r="I29" i="32"/>
  <c r="K29" i="32" s="1"/>
  <c r="E11" i="32"/>
  <c r="E17" i="32" s="1"/>
  <c r="D11" i="32"/>
  <c r="I153" i="35"/>
  <c r="K153" i="35" s="1"/>
  <c r="D17" i="32" l="1"/>
  <c r="I17" i="32" s="1"/>
  <c r="K47" i="32"/>
  <c r="K165" i="43"/>
  <c r="K167" i="43" s="1"/>
  <c r="K159" i="43"/>
  <c r="I145" i="43"/>
  <c r="I155" i="43" s="1"/>
  <c r="K155" i="43" s="1"/>
  <c r="I143" i="43"/>
  <c r="I141" i="43"/>
  <c r="K141" i="43" s="1"/>
  <c r="K137" i="43"/>
  <c r="D131" i="43"/>
  <c r="I131" i="43" s="1"/>
  <c r="K123" i="43"/>
  <c r="I117" i="43"/>
  <c r="K117" i="43" s="1"/>
  <c r="G113" i="43"/>
  <c r="E113" i="43"/>
  <c r="D113" i="43"/>
  <c r="K73" i="43"/>
  <c r="K75" i="43" s="1"/>
  <c r="I101" i="43"/>
  <c r="K101" i="43" s="1"/>
  <c r="I99" i="43"/>
  <c r="E85" i="43"/>
  <c r="E83" i="43"/>
  <c r="E67" i="43"/>
  <c r="E61" i="43"/>
  <c r="D61" i="43"/>
  <c r="I47" i="43"/>
  <c r="K47" i="43" s="1"/>
  <c r="E29" i="43"/>
  <c r="E17" i="43"/>
  <c r="K157" i="43"/>
  <c r="K109" i="43"/>
  <c r="D85" i="43"/>
  <c r="D83" i="43"/>
  <c r="D43" i="43"/>
  <c r="D45" i="43" s="1"/>
  <c r="E41" i="43"/>
  <c r="D41" i="43"/>
  <c r="D11" i="43"/>
  <c r="E11" i="43"/>
  <c r="K63" i="23"/>
  <c r="K65" i="23" s="1"/>
  <c r="K21" i="23"/>
  <c r="K161" i="43" l="1"/>
  <c r="K143" i="43"/>
  <c r="K145" i="43"/>
  <c r="I61" i="43"/>
  <c r="K61" i="43" s="1"/>
  <c r="I113" i="43"/>
  <c r="K113" i="43" s="1"/>
  <c r="K125" i="43" s="1"/>
  <c r="I85" i="43"/>
  <c r="K85" i="43" s="1"/>
  <c r="I83" i="43"/>
  <c r="I89" i="43" s="1"/>
  <c r="K89" i="43" s="1"/>
  <c r="K99" i="43"/>
  <c r="K103" i="43" s="1"/>
  <c r="I41" i="43"/>
  <c r="I11" i="43"/>
  <c r="D67" i="43"/>
  <c r="D59" i="43"/>
  <c r="D17" i="43"/>
  <c r="I17" i="43" s="1"/>
  <c r="K17" i="43" s="1"/>
  <c r="E43" i="43"/>
  <c r="E45" i="43" s="1"/>
  <c r="E59" i="43" s="1"/>
  <c r="I214" i="35"/>
  <c r="K214" i="35" s="1"/>
  <c r="K216" i="35" s="1"/>
  <c r="I206" i="35"/>
  <c r="K206" i="35" s="1"/>
  <c r="I208" i="35"/>
  <c r="I204" i="35"/>
  <c r="K177" i="35"/>
  <c r="K198" i="35"/>
  <c r="K196" i="35"/>
  <c r="E173" i="35"/>
  <c r="D173" i="35"/>
  <c r="D145" i="35"/>
  <c r="K117" i="35"/>
  <c r="K101" i="35"/>
  <c r="K107" i="35"/>
  <c r="K105" i="35"/>
  <c r="E81" i="35"/>
  <c r="D81" i="35"/>
  <c r="D74" i="35"/>
  <c r="D63" i="35"/>
  <c r="E11" i="35"/>
  <c r="D11" i="35"/>
  <c r="K83" i="43" l="1"/>
  <c r="K91" i="43" s="1"/>
  <c r="I67" i="43"/>
  <c r="K67" i="43" s="1"/>
  <c r="I59" i="43"/>
  <c r="K59" i="43" s="1"/>
  <c r="I19" i="43"/>
  <c r="K19" i="43" s="1"/>
  <c r="K131" i="43"/>
  <c r="K147" i="43" s="1"/>
  <c r="I45" i="43"/>
  <c r="I53" i="43" s="1"/>
  <c r="K41" i="43"/>
  <c r="K11" i="43"/>
  <c r="D29" i="43"/>
  <c r="I173" i="35"/>
  <c r="K173" i="35" s="1"/>
  <c r="I81" i="35"/>
  <c r="I171" i="35"/>
  <c r="I29" i="43" l="1"/>
  <c r="I37" i="43" s="1"/>
  <c r="K53" i="43"/>
  <c r="K45" i="43"/>
  <c r="I25" i="43"/>
  <c r="K25" i="43" s="1"/>
  <c r="I21" i="43"/>
  <c r="K21" i="43" s="1"/>
  <c r="I23" i="43"/>
  <c r="K23" i="43" s="1"/>
  <c r="K171" i="35"/>
  <c r="I190" i="35"/>
  <c r="K190" i="35" s="1"/>
  <c r="K29" i="43" l="1"/>
  <c r="K31" i="43" s="1"/>
  <c r="I43" i="43"/>
  <c r="K43" i="43" s="1"/>
  <c r="K37" i="43"/>
  <c r="I21" i="32"/>
  <c r="K69" i="43" l="1"/>
  <c r="K169" i="43" s="1"/>
  <c r="I25" i="32"/>
  <c r="K27" i="23"/>
  <c r="K23" i="23"/>
  <c r="K147" i="31" l="1"/>
  <c r="K145" i="31"/>
  <c r="K29" i="23" l="1"/>
  <c r="K101" i="31" l="1"/>
  <c r="K123" i="29" l="1"/>
  <c r="K93" i="29" l="1"/>
  <c r="D29" i="29"/>
  <c r="I29" i="29" s="1"/>
  <c r="I39" i="29" s="1"/>
  <c r="I57" i="23" l="1"/>
  <c r="I53" i="23" l="1"/>
  <c r="I55" i="23"/>
  <c r="K69" i="23"/>
  <c r="K71" i="23" s="1"/>
  <c r="K103" i="32"/>
  <c r="K107" i="32"/>
  <c r="K226" i="35" l="1"/>
  <c r="K228" i="35" s="1"/>
  <c r="D91" i="35" l="1"/>
  <c r="G74" i="35" l="1"/>
  <c r="D40" i="35"/>
  <c r="E40" i="35"/>
  <c r="K85" i="35"/>
  <c r="I40" i="35" l="1"/>
  <c r="K40" i="35" s="1"/>
  <c r="K63" i="31" l="1"/>
  <c r="K53" i="29" l="1"/>
  <c r="K220" i="35" l="1"/>
  <c r="K222" i="35" s="1"/>
  <c r="K111" i="31" l="1"/>
  <c r="K107" i="31"/>
  <c r="K105" i="31"/>
  <c r="K119" i="31" l="1"/>
  <c r="K103" i="31"/>
  <c r="K111" i="29" l="1"/>
  <c r="K107" i="29"/>
  <c r="K99" i="29"/>
  <c r="K95" i="29"/>
  <c r="K91" i="29"/>
  <c r="K89" i="29"/>
  <c r="K87" i="29"/>
  <c r="K113" i="29" l="1"/>
  <c r="K135" i="31"/>
  <c r="K133" i="31" l="1"/>
  <c r="E165" i="35" l="1"/>
  <c r="E167" i="35" s="1"/>
  <c r="D165" i="35"/>
  <c r="D167" i="35" s="1"/>
  <c r="E163" i="35"/>
  <c r="F63" i="35"/>
  <c r="G63" i="35" s="1"/>
  <c r="E74" i="35"/>
  <c r="F74" i="35"/>
  <c r="E70" i="35"/>
  <c r="D70" i="35"/>
  <c r="E68" i="35"/>
  <c r="D68" i="35"/>
  <c r="F64" i="35"/>
  <c r="E64" i="35"/>
  <c r="D64" i="35"/>
  <c r="D62" i="35"/>
  <c r="E52" i="35"/>
  <c r="D52" i="35"/>
  <c r="E44" i="35"/>
  <c r="D44" i="35"/>
  <c r="E38" i="35"/>
  <c r="D38" i="35"/>
  <c r="E36" i="35"/>
  <c r="D36" i="35"/>
  <c r="I64" i="35" l="1"/>
  <c r="I74" i="35"/>
  <c r="I38" i="35"/>
  <c r="I36" i="35" s="1"/>
  <c r="I52" i="35"/>
  <c r="I70" i="35"/>
  <c r="G62" i="35"/>
  <c r="I68" i="35"/>
  <c r="I44" i="35"/>
  <c r="E91" i="35"/>
  <c r="I91" i="35" s="1"/>
  <c r="I167" i="35"/>
  <c r="D194" i="35" s="1"/>
  <c r="I194" i="35" s="1"/>
  <c r="I165" i="35"/>
  <c r="D17" i="35"/>
  <c r="K62" i="35" l="1"/>
  <c r="I62" i="35"/>
  <c r="I188" i="35"/>
  <c r="K188" i="35" s="1"/>
  <c r="K74" i="35"/>
  <c r="K91" i="35"/>
  <c r="K81" i="35"/>
  <c r="K93" i="35" s="1"/>
  <c r="D29" i="35"/>
  <c r="I11" i="35"/>
  <c r="I139" i="32" l="1"/>
  <c r="K21" i="32" l="1"/>
  <c r="K25" i="32"/>
  <c r="I23" i="32"/>
  <c r="K23" i="32" s="1"/>
  <c r="K17" i="32"/>
  <c r="I11" i="32"/>
  <c r="I19" i="32" s="1"/>
  <c r="K11" i="32" l="1"/>
  <c r="K19" i="32"/>
  <c r="K37" i="32" l="1"/>
  <c r="K105" i="32"/>
  <c r="K43" i="23" l="1"/>
  <c r="K204" i="35" l="1"/>
  <c r="G159" i="35" l="1"/>
  <c r="E145" i="35"/>
  <c r="I145" i="35" s="1"/>
  <c r="K103" i="35"/>
  <c r="K159" i="35" l="1"/>
  <c r="K64" i="35"/>
  <c r="K36" i="35"/>
  <c r="K46" i="35"/>
  <c r="E17" i="35"/>
  <c r="I17" i="35" s="1"/>
  <c r="I21" i="35" l="1"/>
  <c r="I25" i="35"/>
  <c r="I19" i="35"/>
  <c r="E29" i="35"/>
  <c r="I29" i="35" s="1"/>
  <c r="K38" i="35"/>
  <c r="K19" i="35" l="1"/>
  <c r="I23" i="35"/>
  <c r="K23" i="35" s="1"/>
  <c r="K21" i="35"/>
  <c r="K25" i="35"/>
  <c r="K17" i="35"/>
  <c r="K44" i="35"/>
  <c r="K52" i="35" l="1"/>
  <c r="K54" i="35" s="1"/>
  <c r="K70" i="35" l="1"/>
  <c r="K68" i="35"/>
  <c r="K76" i="35" l="1"/>
  <c r="K61" i="32"/>
  <c r="K49" i="32" l="1"/>
  <c r="K63" i="32" s="1"/>
  <c r="K67" i="31" l="1"/>
  <c r="K65" i="29"/>
  <c r="K208" i="35" l="1"/>
  <c r="I163" i="35"/>
  <c r="K11" i="35" l="1"/>
  <c r="K29" i="35" l="1"/>
  <c r="K31" i="35" s="1"/>
  <c r="K163" i="35"/>
  <c r="K165" i="35"/>
  <c r="K167" i="35"/>
  <c r="K131" i="35"/>
  <c r="K137" i="35"/>
  <c r="K139" i="35"/>
  <c r="K145" i="35"/>
  <c r="K194" i="35"/>
  <c r="K210" i="35" s="1"/>
  <c r="K113" i="35"/>
  <c r="K115" i="35"/>
  <c r="K97" i="35"/>
  <c r="K98" i="35"/>
  <c r="K127" i="32"/>
  <c r="K91" i="32"/>
  <c r="K89" i="32"/>
  <c r="K141" i="32"/>
  <c r="K139" i="32"/>
  <c r="K135" i="32"/>
  <c r="K155" i="31"/>
  <c r="K93" i="31"/>
  <c r="K43" i="31"/>
  <c r="K85" i="31"/>
  <c r="K125" i="31"/>
  <c r="K61" i="31"/>
  <c r="K51" i="31"/>
  <c r="K47" i="31"/>
  <c r="K35" i="31"/>
  <c r="K19" i="31"/>
  <c r="K17" i="31"/>
  <c r="K152" i="29"/>
  <c r="K150" i="29"/>
  <c r="K144" i="29"/>
  <c r="K136" i="29"/>
  <c r="K79" i="29"/>
  <c r="K39" i="29"/>
  <c r="K75" i="29"/>
  <c r="K61" i="29"/>
  <c r="K51" i="29"/>
  <c r="K47" i="29"/>
  <c r="K45" i="29"/>
  <c r="K43" i="29"/>
  <c r="K29" i="29"/>
  <c r="K146" i="29" l="1"/>
  <c r="K180" i="35"/>
  <c r="K119" i="35"/>
  <c r="K129" i="32"/>
  <c r="K95" i="31"/>
  <c r="K156" i="29"/>
  <c r="K147" i="35"/>
  <c r="K149" i="32"/>
  <c r="K77" i="31"/>
  <c r="K161" i="31"/>
  <c r="K81" i="29"/>
  <c r="K67" i="29"/>
  <c r="K25" i="29"/>
  <c r="K23" i="29"/>
  <c r="K19" i="29"/>
  <c r="K21" i="31"/>
  <c r="K27" i="31"/>
  <c r="K11" i="31"/>
  <c r="K25" i="31"/>
  <c r="K11" i="29"/>
  <c r="K17" i="29"/>
  <c r="K230" i="35" l="1"/>
  <c r="K151" i="32"/>
  <c r="K33" i="29"/>
  <c r="K29" i="31"/>
  <c r="K31" i="31"/>
  <c r="K37" i="31" l="1"/>
  <c r="K175" i="31" s="1"/>
  <c r="K57" i="23"/>
  <c r="K51" i="23"/>
  <c r="K53" i="23"/>
  <c r="K55" i="23"/>
  <c r="K41" i="23"/>
  <c r="K45" i="23" s="1"/>
  <c r="K35" i="23"/>
  <c r="K37" i="23" s="1"/>
  <c r="K59" i="23" l="1"/>
  <c r="K73" i="23" s="1"/>
  <c r="K174" i="29" l="1"/>
</calcChain>
</file>

<file path=xl/comments1.xml><?xml version="1.0" encoding="utf-8"?>
<comments xmlns="http://schemas.openxmlformats.org/spreadsheetml/2006/main">
  <authors>
    <author>Author</author>
  </authors>
  <commentList>
    <comment ref="D5" authorId="0" shapeId="0">
      <text>
        <r>
          <rPr>
            <b/>
            <sz val="9"/>
            <color indexed="81"/>
            <rFont val="Tahoma"/>
            <family val="2"/>
          </rPr>
          <t>Author:</t>
        </r>
        <r>
          <rPr>
            <sz val="9"/>
            <color indexed="81"/>
            <rFont val="Tahoma"/>
            <family val="2"/>
          </rPr>
          <t xml:space="preserve">
length RBBT</t>
        </r>
      </text>
    </comment>
    <comment ref="E5" authorId="0" shapeId="0">
      <text>
        <r>
          <rPr>
            <b/>
            <sz val="9"/>
            <color indexed="81"/>
            <rFont val="Tahoma"/>
            <family val="2"/>
          </rPr>
          <t>Author:</t>
        </r>
        <r>
          <rPr>
            <sz val="9"/>
            <color indexed="81"/>
            <rFont val="Tahoma"/>
            <family val="2"/>
          </rPr>
          <t xml:space="preserve">
width RBBT</t>
        </r>
      </text>
    </comment>
    <comment ref="D6" authorId="0" shapeId="0">
      <text>
        <r>
          <rPr>
            <b/>
            <sz val="9"/>
            <color indexed="81"/>
            <rFont val="Tahoma"/>
            <family val="2"/>
          </rPr>
          <t>Author:</t>
        </r>
        <r>
          <rPr>
            <sz val="9"/>
            <color indexed="81"/>
            <rFont val="Tahoma"/>
            <family val="2"/>
          </rPr>
          <t xml:space="preserve">
length OC</t>
        </r>
      </text>
    </comment>
    <comment ref="E6" authorId="0" shapeId="0">
      <text>
        <r>
          <rPr>
            <b/>
            <sz val="9"/>
            <color indexed="81"/>
            <rFont val="Tahoma"/>
            <family val="2"/>
          </rPr>
          <t>Author:</t>
        </r>
        <r>
          <rPr>
            <sz val="9"/>
            <color indexed="81"/>
            <rFont val="Tahoma"/>
            <family val="2"/>
          </rPr>
          <t xml:space="preserve">
width OC</t>
        </r>
      </text>
    </comment>
    <comment ref="E7" authorId="0" shapeId="0">
      <text>
        <r>
          <rPr>
            <b/>
            <sz val="9"/>
            <color indexed="81"/>
            <rFont val="Tahoma"/>
            <family val="2"/>
          </rPr>
          <t>Author:</t>
        </r>
        <r>
          <rPr>
            <sz val="9"/>
            <color indexed="81"/>
            <rFont val="Tahoma"/>
            <family val="2"/>
          </rPr>
          <t xml:space="preserve">
width BT</t>
        </r>
      </text>
    </comment>
    <comment ref="D8" authorId="0" shapeId="0">
      <text>
        <r>
          <rPr>
            <b/>
            <sz val="9"/>
            <color indexed="81"/>
            <rFont val="Tahoma"/>
            <family val="2"/>
          </rPr>
          <t>Author:</t>
        </r>
        <r>
          <rPr>
            <sz val="9"/>
            <color indexed="81"/>
            <rFont val="Tahoma"/>
            <family val="2"/>
          </rPr>
          <t xml:space="preserve">
length SDB</t>
        </r>
      </text>
    </comment>
    <comment ref="E8" authorId="0" shapeId="0">
      <text>
        <r>
          <rPr>
            <b/>
            <sz val="9"/>
            <color indexed="81"/>
            <rFont val="Tahoma"/>
            <family val="2"/>
          </rPr>
          <t>Author:</t>
        </r>
        <r>
          <rPr>
            <sz val="9"/>
            <color indexed="81"/>
            <rFont val="Tahoma"/>
            <family val="2"/>
          </rPr>
          <t xml:space="preserve">
width SDB</t>
        </r>
      </text>
    </comment>
    <comment ref="D9" authorId="0" shapeId="0">
      <text>
        <r>
          <rPr>
            <b/>
            <sz val="9"/>
            <color indexed="81"/>
            <rFont val="Tahoma"/>
            <family val="2"/>
          </rPr>
          <t>Author:</t>
        </r>
        <r>
          <rPr>
            <sz val="9"/>
            <color indexed="81"/>
            <rFont val="Tahoma"/>
            <family val="2"/>
          </rPr>
          <t xml:space="preserve">
length SDB channel</t>
        </r>
      </text>
    </comment>
    <comment ref="E9" authorId="0" shapeId="0">
      <text>
        <r>
          <rPr>
            <b/>
            <sz val="9"/>
            <color indexed="81"/>
            <rFont val="Tahoma"/>
            <family val="2"/>
          </rPr>
          <t>Author:</t>
        </r>
        <r>
          <rPr>
            <sz val="9"/>
            <color indexed="81"/>
            <rFont val="Tahoma"/>
            <family val="2"/>
          </rPr>
          <t xml:space="preserve">
width SDB channel</t>
        </r>
      </text>
    </comment>
    <comment ref="D11" authorId="0" shapeId="0">
      <text>
        <r>
          <rPr>
            <b/>
            <sz val="9"/>
            <color indexed="81"/>
            <rFont val="Tahoma"/>
            <family val="2"/>
          </rPr>
          <t>Author:</t>
        </r>
        <r>
          <rPr>
            <sz val="9"/>
            <color indexed="81"/>
            <rFont val="Tahoma"/>
            <family val="2"/>
          </rPr>
          <t xml:space="preserve">
RBBT + SDB length</t>
        </r>
      </text>
    </comment>
    <comment ref="E11" authorId="0" shapeId="0">
      <text>
        <r>
          <rPr>
            <b/>
            <sz val="9"/>
            <color indexed="81"/>
            <rFont val="Tahoma"/>
            <family val="2"/>
          </rPr>
          <t>Author:</t>
        </r>
        <r>
          <rPr>
            <sz val="9"/>
            <color indexed="81"/>
            <rFont val="Tahoma"/>
            <family val="2"/>
          </rPr>
          <t xml:space="preserve">
RBBT + SDB width</t>
        </r>
      </text>
    </comment>
    <comment ref="F11" authorId="0" shapeId="0">
      <text>
        <r>
          <rPr>
            <b/>
            <sz val="9"/>
            <color indexed="81"/>
            <rFont val="Tahoma"/>
            <family val="2"/>
          </rPr>
          <t>Author:</t>
        </r>
        <r>
          <rPr>
            <sz val="9"/>
            <color indexed="81"/>
            <rFont val="Tahoma"/>
            <family val="2"/>
          </rPr>
          <t xml:space="preserve">
the missing piece of the SDB channel</t>
        </r>
      </text>
    </comment>
    <comment ref="D12" authorId="0" shapeId="0">
      <text>
        <r>
          <rPr>
            <b/>
            <sz val="9"/>
            <color indexed="81"/>
            <rFont val="Tahoma"/>
            <family val="2"/>
          </rPr>
          <t>Author:</t>
        </r>
        <r>
          <rPr>
            <sz val="9"/>
            <color indexed="81"/>
            <rFont val="Tahoma"/>
            <family val="2"/>
          </rPr>
          <t xml:space="preserve">
OC surface</t>
        </r>
      </text>
    </comment>
    <comment ref="E17" authorId="0" shapeId="0">
      <text>
        <r>
          <rPr>
            <b/>
            <sz val="9"/>
            <color indexed="81"/>
            <rFont val="Tahoma"/>
            <family val="2"/>
          </rPr>
          <t>Author:</t>
        </r>
        <r>
          <rPr>
            <sz val="9"/>
            <color indexed="81"/>
            <rFont val="Tahoma"/>
            <family val="2"/>
          </rPr>
          <t xml:space="preserve">
excavation depth of RBBT=0.85 and excavation of SDB is 0.65</t>
        </r>
      </text>
    </comment>
    <comment ref="F29" authorId="0" shapeId="0">
      <text>
        <r>
          <rPr>
            <b/>
            <sz val="9"/>
            <color indexed="81"/>
            <rFont val="Tahoma"/>
            <family val="2"/>
          </rPr>
          <t>Author:</t>
        </r>
        <r>
          <rPr>
            <sz val="9"/>
            <color indexed="81"/>
            <rFont val="Tahoma"/>
            <family val="2"/>
          </rPr>
          <t xml:space="preserve">
thickness hardcore layer</t>
        </r>
      </text>
    </comment>
    <comment ref="D30" authorId="0" shapeId="0">
      <text>
        <r>
          <rPr>
            <b/>
            <sz val="9"/>
            <color indexed="81"/>
            <rFont val="Tahoma"/>
            <family val="2"/>
          </rPr>
          <t>Author:</t>
        </r>
        <r>
          <rPr>
            <sz val="9"/>
            <color indexed="81"/>
            <rFont val="Tahoma"/>
            <family val="2"/>
          </rPr>
          <t xml:space="preserve">
surface of the SDB channel</t>
        </r>
      </text>
    </comment>
    <comment ref="E30" authorId="0" shapeId="0">
      <text>
        <r>
          <rPr>
            <b/>
            <sz val="9"/>
            <color indexed="81"/>
            <rFont val="Tahoma"/>
            <family val="2"/>
          </rPr>
          <t>Author:</t>
        </r>
        <r>
          <rPr>
            <sz val="9"/>
            <color indexed="81"/>
            <rFont val="Tahoma"/>
            <family val="2"/>
          </rPr>
          <t xml:space="preserve">
outlet chamber
</t>
        </r>
      </text>
    </comment>
    <comment ref="D31" authorId="0" shapeId="0">
      <text>
        <r>
          <rPr>
            <b/>
            <sz val="9"/>
            <color indexed="81"/>
            <rFont val="Tahoma"/>
            <family val="2"/>
          </rPr>
          <t>Author:</t>
        </r>
        <r>
          <rPr>
            <sz val="9"/>
            <color indexed="81"/>
            <rFont val="Tahoma"/>
            <family val="2"/>
          </rPr>
          <t xml:space="preserve">
fill under the screen section</t>
        </r>
      </text>
    </comment>
    <comment ref="E31" authorId="0" shapeId="0">
      <text>
        <r>
          <rPr>
            <b/>
            <sz val="9"/>
            <color indexed="81"/>
            <rFont val="Tahoma"/>
            <family val="2"/>
          </rPr>
          <t>Author:</t>
        </r>
        <r>
          <rPr>
            <sz val="9"/>
            <color indexed="81"/>
            <rFont val="Tahoma"/>
            <family val="2"/>
          </rPr>
          <t xml:space="preserve">
fill under the grit removal pocket</t>
        </r>
      </text>
    </comment>
    <comment ref="F31" authorId="0" shapeId="0">
      <text>
        <r>
          <rPr>
            <b/>
            <sz val="9"/>
            <color indexed="81"/>
            <rFont val="Tahoma"/>
            <family val="2"/>
          </rPr>
          <t>Author:</t>
        </r>
        <r>
          <rPr>
            <sz val="9"/>
            <color indexed="81"/>
            <rFont val="Tahoma"/>
            <family val="2"/>
          </rPr>
          <t xml:space="preserve">
fill under the SDB channel</t>
        </r>
      </text>
    </comment>
    <comment ref="F43" authorId="0" shapeId="0">
      <text>
        <r>
          <rPr>
            <b/>
            <sz val="9"/>
            <color indexed="81"/>
            <rFont val="Tahoma"/>
            <family val="2"/>
          </rPr>
          <t>Author:</t>
        </r>
        <r>
          <rPr>
            <sz val="9"/>
            <color indexed="81"/>
            <rFont val="Tahoma"/>
            <family val="2"/>
          </rPr>
          <t xml:space="preserve">
Outlet Chamber area</t>
        </r>
      </text>
    </comment>
    <comment ref="D44" authorId="0" shapeId="0">
      <text>
        <r>
          <rPr>
            <b/>
            <sz val="9"/>
            <color indexed="81"/>
            <rFont val="Tahoma"/>
            <family val="2"/>
          </rPr>
          <t>Author:</t>
        </r>
        <r>
          <rPr>
            <sz val="9"/>
            <color indexed="81"/>
            <rFont val="Tahoma"/>
            <family val="2"/>
          </rPr>
          <t xml:space="preserve">
width blinding RB and SDB channel</t>
        </r>
      </text>
    </comment>
    <comment ref="E44" authorId="0" shapeId="0">
      <text>
        <r>
          <rPr>
            <b/>
            <sz val="9"/>
            <color indexed="81"/>
            <rFont val="Tahoma"/>
            <family val="2"/>
          </rPr>
          <t>Author:</t>
        </r>
        <r>
          <rPr>
            <sz val="9"/>
            <color indexed="81"/>
            <rFont val="Tahoma"/>
            <family val="2"/>
          </rPr>
          <t xml:space="preserve">
length blinding RB</t>
        </r>
      </text>
    </comment>
    <comment ref="D61" authorId="0" shapeId="0">
      <text>
        <r>
          <rPr>
            <b/>
            <sz val="9"/>
            <color indexed="81"/>
            <rFont val="Tahoma"/>
            <family val="2"/>
          </rPr>
          <t>Author:</t>
        </r>
        <r>
          <rPr>
            <sz val="9"/>
            <color indexed="81"/>
            <rFont val="Tahoma"/>
            <family val="2"/>
          </rPr>
          <t xml:space="preserve">
height of column</t>
        </r>
      </text>
    </comment>
    <comment ref="E61" authorId="0" shapeId="0">
      <text>
        <r>
          <rPr>
            <b/>
            <sz val="9"/>
            <color indexed="81"/>
            <rFont val="Tahoma"/>
            <family val="2"/>
          </rPr>
          <t>Author:</t>
        </r>
        <r>
          <rPr>
            <sz val="9"/>
            <color indexed="81"/>
            <rFont val="Tahoma"/>
            <family val="2"/>
          </rPr>
          <t xml:space="preserve">
width of column</t>
        </r>
      </text>
    </comment>
    <comment ref="D65" authorId="0" shapeId="0">
      <text>
        <r>
          <rPr>
            <b/>
            <sz val="9"/>
            <color indexed="81"/>
            <rFont val="Tahoma"/>
            <family val="2"/>
          </rPr>
          <t>Author:</t>
        </r>
        <r>
          <rPr>
            <sz val="9"/>
            <color indexed="81"/>
            <rFont val="Tahoma"/>
            <family val="2"/>
          </rPr>
          <t xml:space="preserve">
W of inside of BT</t>
        </r>
      </text>
    </comment>
    <comment ref="E65" authorId="0" shapeId="0">
      <text>
        <r>
          <rPr>
            <b/>
            <sz val="9"/>
            <color indexed="81"/>
            <rFont val="Tahoma"/>
            <family val="2"/>
          </rPr>
          <t>Author:</t>
        </r>
        <r>
          <rPr>
            <sz val="9"/>
            <color indexed="81"/>
            <rFont val="Tahoma"/>
            <family val="2"/>
          </rPr>
          <t xml:space="preserve">
L of inside of BT</t>
        </r>
      </text>
    </comment>
    <comment ref="G65" authorId="0" shapeId="0">
      <text>
        <r>
          <rPr>
            <b/>
            <sz val="9"/>
            <color indexed="81"/>
            <rFont val="Tahoma"/>
            <family val="2"/>
          </rPr>
          <t>Author:</t>
        </r>
        <r>
          <rPr>
            <sz val="9"/>
            <color indexed="81"/>
            <rFont val="Tahoma"/>
            <family val="2"/>
          </rPr>
          <t xml:space="preserve">
W of OC</t>
        </r>
      </text>
    </comment>
    <comment ref="D66" authorId="0" shapeId="0">
      <text>
        <r>
          <rPr>
            <b/>
            <sz val="9"/>
            <color indexed="81"/>
            <rFont val="Tahoma"/>
            <family val="2"/>
          </rPr>
          <t>Author:</t>
        </r>
        <r>
          <rPr>
            <sz val="9"/>
            <color indexed="81"/>
            <rFont val="Tahoma"/>
            <family val="2"/>
          </rPr>
          <t xml:space="preserve">
W of RB and SDB channel</t>
        </r>
      </text>
    </comment>
    <comment ref="E66" authorId="0" shapeId="0">
      <text>
        <r>
          <rPr>
            <b/>
            <sz val="9"/>
            <color indexed="81"/>
            <rFont val="Tahoma"/>
            <family val="2"/>
          </rPr>
          <t>Author:</t>
        </r>
        <r>
          <rPr>
            <sz val="9"/>
            <color indexed="81"/>
            <rFont val="Tahoma"/>
            <family val="2"/>
          </rPr>
          <t xml:space="preserve">
L of RB</t>
        </r>
      </text>
    </comment>
    <comment ref="G66" authorId="0" shapeId="0">
      <text>
        <r>
          <rPr>
            <b/>
            <sz val="9"/>
            <color indexed="81"/>
            <rFont val="Tahoma"/>
            <family val="2"/>
          </rPr>
          <t>Author:</t>
        </r>
        <r>
          <rPr>
            <sz val="9"/>
            <color indexed="81"/>
            <rFont val="Tahoma"/>
            <family val="2"/>
          </rPr>
          <t xml:space="preserve">
L of OC</t>
        </r>
      </text>
    </comment>
    <comment ref="D75" authorId="0" shapeId="0">
      <text>
        <r>
          <rPr>
            <b/>
            <sz val="9"/>
            <color indexed="81"/>
            <rFont val="Tahoma"/>
            <family val="2"/>
          </rPr>
          <t>Author:</t>
        </r>
        <r>
          <rPr>
            <sz val="9"/>
            <color indexed="81"/>
            <rFont val="Tahoma"/>
            <family val="2"/>
          </rPr>
          <t xml:space="preserve">
walls for BT
</t>
        </r>
      </text>
    </comment>
    <comment ref="E75" authorId="0" shapeId="0">
      <text>
        <r>
          <rPr>
            <b/>
            <sz val="9"/>
            <color indexed="81"/>
            <rFont val="Tahoma"/>
            <family val="2"/>
          </rPr>
          <t>Author:</t>
        </r>
        <r>
          <rPr>
            <sz val="9"/>
            <color indexed="81"/>
            <rFont val="Tahoma"/>
            <family val="2"/>
          </rPr>
          <t xml:space="preserve">
walls of RB</t>
        </r>
      </text>
    </comment>
    <comment ref="F75" authorId="0" shapeId="0">
      <text>
        <r>
          <rPr>
            <b/>
            <sz val="9"/>
            <color indexed="81"/>
            <rFont val="Tahoma"/>
            <family val="2"/>
          </rPr>
          <t>Author:</t>
        </r>
        <r>
          <rPr>
            <sz val="9"/>
            <color indexed="81"/>
            <rFont val="Tahoma"/>
            <family val="2"/>
          </rPr>
          <t xml:space="preserve">
walls of SDB
</t>
        </r>
      </text>
    </comment>
    <comment ref="G75" authorId="0" shapeId="0">
      <text>
        <r>
          <rPr>
            <b/>
            <sz val="9"/>
            <color indexed="81"/>
            <rFont val="Tahoma"/>
            <family val="2"/>
          </rPr>
          <t>Author:</t>
        </r>
        <r>
          <rPr>
            <sz val="9"/>
            <color indexed="81"/>
            <rFont val="Tahoma"/>
            <family val="2"/>
          </rPr>
          <t xml:space="preserve">
walls of OC</t>
        </r>
      </text>
    </comment>
    <comment ref="D88" authorId="0" shapeId="0">
      <text>
        <r>
          <rPr>
            <b/>
            <sz val="9"/>
            <color indexed="81"/>
            <rFont val="Tahoma"/>
            <family val="2"/>
          </rPr>
          <t>Author:</t>
        </r>
        <r>
          <rPr>
            <sz val="9"/>
            <color indexed="81"/>
            <rFont val="Tahoma"/>
            <family val="2"/>
          </rPr>
          <t xml:space="preserve">
manholes openings</t>
        </r>
      </text>
    </comment>
    <comment ref="D89" authorId="0" shapeId="0">
      <text>
        <r>
          <rPr>
            <b/>
            <sz val="9"/>
            <color indexed="81"/>
            <rFont val="Tahoma"/>
            <family val="2"/>
          </rPr>
          <t>Author:</t>
        </r>
        <r>
          <rPr>
            <sz val="9"/>
            <color indexed="81"/>
            <rFont val="Tahoma"/>
            <family val="2"/>
          </rPr>
          <t xml:space="preserve">
1st screen slab</t>
        </r>
      </text>
    </comment>
    <comment ref="E89" authorId="0" shapeId="0">
      <text>
        <r>
          <rPr>
            <b/>
            <sz val="9"/>
            <color indexed="81"/>
            <rFont val="Tahoma"/>
            <family val="2"/>
          </rPr>
          <t>Author:</t>
        </r>
        <r>
          <rPr>
            <sz val="9"/>
            <color indexed="81"/>
            <rFont val="Tahoma"/>
            <family val="2"/>
          </rPr>
          <t xml:space="preserve">
2nd screen slab</t>
        </r>
      </text>
    </comment>
    <comment ref="D107" authorId="0" shapeId="0">
      <text>
        <r>
          <rPr>
            <b/>
            <sz val="9"/>
            <color indexed="81"/>
            <rFont val="Tahoma"/>
            <family val="2"/>
          </rPr>
          <t>Author:</t>
        </r>
        <r>
          <rPr>
            <sz val="9"/>
            <color indexed="81"/>
            <rFont val="Tahoma"/>
            <family val="2"/>
          </rPr>
          <t xml:space="preserve">
BT</t>
        </r>
      </text>
    </comment>
    <comment ref="E107" authorId="0" shapeId="0">
      <text>
        <r>
          <rPr>
            <b/>
            <sz val="9"/>
            <color indexed="81"/>
            <rFont val="Tahoma"/>
            <family val="2"/>
          </rPr>
          <t>Author:</t>
        </r>
        <r>
          <rPr>
            <sz val="9"/>
            <color indexed="81"/>
            <rFont val="Tahoma"/>
            <family val="2"/>
          </rPr>
          <t xml:space="preserve">
BT</t>
        </r>
      </text>
    </comment>
    <comment ref="F107" authorId="0" shapeId="0">
      <text>
        <r>
          <rPr>
            <b/>
            <sz val="9"/>
            <color indexed="81"/>
            <rFont val="Tahoma"/>
            <family val="2"/>
          </rPr>
          <t>Author:</t>
        </r>
        <r>
          <rPr>
            <sz val="9"/>
            <color indexed="81"/>
            <rFont val="Tahoma"/>
            <family val="2"/>
          </rPr>
          <t xml:space="preserve">
RB slab *2</t>
        </r>
      </text>
    </comment>
    <comment ref="D108" authorId="0" shapeId="0">
      <text>
        <r>
          <rPr>
            <b/>
            <sz val="9"/>
            <color indexed="81"/>
            <rFont val="Tahoma"/>
            <family val="2"/>
          </rPr>
          <t>Author:</t>
        </r>
        <r>
          <rPr>
            <sz val="9"/>
            <color indexed="81"/>
            <rFont val="Tahoma"/>
            <family val="2"/>
          </rPr>
          <t xml:space="preserve">
OC</t>
        </r>
      </text>
    </comment>
    <comment ref="E108" authorId="0" shapeId="0">
      <text>
        <r>
          <rPr>
            <b/>
            <sz val="9"/>
            <color indexed="81"/>
            <rFont val="Tahoma"/>
            <family val="2"/>
          </rPr>
          <t>Author:</t>
        </r>
        <r>
          <rPr>
            <sz val="9"/>
            <color indexed="81"/>
            <rFont val="Tahoma"/>
            <family val="2"/>
          </rPr>
          <t xml:space="preserve">
OC</t>
        </r>
      </text>
    </comment>
    <comment ref="D111" authorId="0" shapeId="0">
      <text>
        <r>
          <rPr>
            <b/>
            <sz val="9"/>
            <color indexed="81"/>
            <rFont val="Tahoma"/>
            <family val="2"/>
          </rPr>
          <t>Author:</t>
        </r>
        <r>
          <rPr>
            <sz val="9"/>
            <color indexed="81"/>
            <rFont val="Tahoma"/>
            <family val="2"/>
          </rPr>
          <t xml:space="preserve">
external sides of beams</t>
        </r>
      </text>
    </comment>
    <comment ref="E111" authorId="0" shapeId="0">
      <text>
        <r>
          <rPr>
            <b/>
            <sz val="9"/>
            <color indexed="81"/>
            <rFont val="Tahoma"/>
            <family val="2"/>
          </rPr>
          <t>Author:</t>
        </r>
        <r>
          <rPr>
            <sz val="9"/>
            <color indexed="81"/>
            <rFont val="Tahoma"/>
            <family val="2"/>
          </rPr>
          <t xml:space="preserve">
internal sides of beams</t>
        </r>
      </text>
    </comment>
    <comment ref="D162" authorId="0" shapeId="0">
      <text>
        <r>
          <rPr>
            <b/>
            <sz val="9"/>
            <color indexed="81"/>
            <rFont val="Tahoma"/>
            <family val="2"/>
          </rPr>
          <t>Author:</t>
        </r>
        <r>
          <rPr>
            <sz val="9"/>
            <color indexed="81"/>
            <rFont val="Tahoma"/>
            <family val="2"/>
          </rPr>
          <t xml:space="preserve">
length of SDB</t>
        </r>
      </text>
    </comment>
    <comment ref="E162" authorId="0" shapeId="0">
      <text>
        <r>
          <rPr>
            <b/>
            <sz val="9"/>
            <color indexed="81"/>
            <rFont val="Tahoma"/>
            <family val="2"/>
          </rPr>
          <t>Author:</t>
        </r>
        <r>
          <rPr>
            <sz val="9"/>
            <color indexed="81"/>
            <rFont val="Tahoma"/>
            <family val="2"/>
          </rPr>
          <t xml:space="preserve">
length of the transversal slope of the bottom of the bed
</t>
        </r>
      </text>
    </comment>
    <comment ref="F162" authorId="0" shapeId="0">
      <text>
        <r>
          <rPr>
            <b/>
            <sz val="9"/>
            <color indexed="81"/>
            <rFont val="Tahoma"/>
            <family val="2"/>
          </rPr>
          <t>Author:</t>
        </r>
        <r>
          <rPr>
            <sz val="9"/>
            <color indexed="81"/>
            <rFont val="Tahoma"/>
            <family val="2"/>
          </rPr>
          <t xml:space="preserve">
max depth of SDB</t>
        </r>
      </text>
    </comment>
    <comment ref="E163" authorId="0" shapeId="0">
      <text>
        <r>
          <rPr>
            <b/>
            <sz val="9"/>
            <color indexed="81"/>
            <rFont val="Tahoma"/>
            <family val="2"/>
          </rPr>
          <t>Author:</t>
        </r>
        <r>
          <rPr>
            <sz val="9"/>
            <color indexed="81"/>
            <rFont val="Tahoma"/>
            <family val="2"/>
          </rPr>
          <t xml:space="preserve">
width of SDB</t>
        </r>
      </text>
    </comment>
    <comment ref="F163" authorId="0" shapeId="0">
      <text>
        <r>
          <rPr>
            <b/>
            <sz val="9"/>
            <color indexed="81"/>
            <rFont val="Tahoma"/>
            <family val="2"/>
          </rPr>
          <t>Author:</t>
        </r>
        <r>
          <rPr>
            <sz val="9"/>
            <color indexed="81"/>
            <rFont val="Tahoma"/>
            <family val="2"/>
          </rPr>
          <t xml:space="preserve">
min depth of SDB</t>
        </r>
      </text>
    </comment>
  </commentList>
</comments>
</file>

<file path=xl/comments2.xml><?xml version="1.0" encoding="utf-8"?>
<comments xmlns="http://schemas.openxmlformats.org/spreadsheetml/2006/main">
  <authors>
    <author>Author</author>
  </authors>
  <commentList>
    <comment ref="D5" authorId="0" shapeId="0">
      <text>
        <r>
          <rPr>
            <b/>
            <sz val="9"/>
            <color indexed="81"/>
            <rFont val="Tahoma"/>
            <family val="2"/>
          </rPr>
          <t>Author:</t>
        </r>
        <r>
          <rPr>
            <sz val="9"/>
            <color indexed="81"/>
            <rFont val="Tahoma"/>
            <family val="2"/>
          </rPr>
          <t xml:space="preserve">
ABR length</t>
        </r>
      </text>
    </comment>
    <comment ref="E5" authorId="0" shapeId="0">
      <text>
        <r>
          <rPr>
            <b/>
            <sz val="9"/>
            <color indexed="81"/>
            <rFont val="Tahoma"/>
            <family val="2"/>
          </rPr>
          <t>Author:</t>
        </r>
        <r>
          <rPr>
            <sz val="9"/>
            <color indexed="81"/>
            <rFont val="Tahoma"/>
            <family val="2"/>
          </rPr>
          <t xml:space="preserve">
width ABR</t>
        </r>
      </text>
    </comment>
    <comment ref="D6" authorId="0" shapeId="0">
      <text>
        <r>
          <rPr>
            <b/>
            <sz val="9"/>
            <color indexed="81"/>
            <rFont val="Tahoma"/>
            <family val="2"/>
          </rPr>
          <t>Author:</t>
        </r>
        <r>
          <rPr>
            <sz val="9"/>
            <color indexed="81"/>
            <rFont val="Tahoma"/>
            <family val="2"/>
          </rPr>
          <t xml:space="preserve">
length siphon chamber</t>
        </r>
      </text>
    </comment>
    <comment ref="E6" authorId="0" shapeId="0">
      <text>
        <r>
          <rPr>
            <b/>
            <sz val="9"/>
            <color indexed="81"/>
            <rFont val="Tahoma"/>
            <family val="2"/>
          </rPr>
          <t>Author:</t>
        </r>
        <r>
          <rPr>
            <sz val="9"/>
            <color indexed="81"/>
            <rFont val="Tahoma"/>
            <family val="2"/>
          </rPr>
          <t xml:space="preserve">
width siphon chamber</t>
        </r>
      </text>
    </comment>
    <comment ref="D7" authorId="0" shapeId="0">
      <text>
        <r>
          <rPr>
            <b/>
            <sz val="9"/>
            <color indexed="81"/>
            <rFont val="Tahoma"/>
            <family val="2"/>
          </rPr>
          <t>Author:</t>
        </r>
        <r>
          <rPr>
            <sz val="9"/>
            <color indexed="81"/>
            <rFont val="Tahoma"/>
            <family val="2"/>
          </rPr>
          <t xml:space="preserve">
length inspection chamber</t>
        </r>
      </text>
    </comment>
    <comment ref="E7" authorId="0" shapeId="0">
      <text>
        <r>
          <rPr>
            <b/>
            <sz val="9"/>
            <color indexed="81"/>
            <rFont val="Tahoma"/>
            <family val="2"/>
          </rPr>
          <t>Author:</t>
        </r>
        <r>
          <rPr>
            <sz val="9"/>
            <color indexed="81"/>
            <rFont val="Tahoma"/>
            <family val="2"/>
          </rPr>
          <t xml:space="preserve">
width inspection chamber</t>
        </r>
      </text>
    </comment>
    <comment ref="F17" authorId="0" shapeId="0">
      <text>
        <r>
          <rPr>
            <b/>
            <sz val="9"/>
            <color indexed="81"/>
            <rFont val="Tahoma"/>
            <family val="2"/>
          </rPr>
          <t>Author:</t>
        </r>
        <r>
          <rPr>
            <sz val="9"/>
            <color indexed="81"/>
            <rFont val="Tahoma"/>
            <family val="2"/>
          </rPr>
          <t xml:space="preserve">
outlet chamber</t>
        </r>
      </text>
    </comment>
    <comment ref="F19" authorId="0" shapeId="0">
      <text>
        <r>
          <rPr>
            <b/>
            <sz val="9"/>
            <color indexed="81"/>
            <rFont val="Tahoma"/>
            <family val="2"/>
          </rPr>
          <t>Author:</t>
        </r>
        <r>
          <rPr>
            <sz val="9"/>
            <color indexed="81"/>
            <rFont val="Tahoma"/>
            <family val="2"/>
          </rPr>
          <t xml:space="preserve">
outlet chamber</t>
        </r>
      </text>
    </comment>
    <comment ref="F23" authorId="0" shapeId="0">
      <text>
        <r>
          <rPr>
            <b/>
            <sz val="9"/>
            <color indexed="81"/>
            <rFont val="Tahoma"/>
            <family val="2"/>
          </rPr>
          <t>Author:</t>
        </r>
        <r>
          <rPr>
            <sz val="9"/>
            <color indexed="81"/>
            <rFont val="Tahoma"/>
            <family val="2"/>
          </rPr>
          <t xml:space="preserve">
total depth = 3.6 (incl. slab and hardcore backfill)</t>
        </r>
      </text>
    </comment>
    <comment ref="D49" authorId="0" shapeId="0">
      <text>
        <r>
          <rPr>
            <b/>
            <sz val="9"/>
            <color indexed="81"/>
            <rFont val="Tahoma"/>
            <family val="2"/>
          </rPr>
          <t>Author:</t>
        </r>
        <r>
          <rPr>
            <sz val="9"/>
            <color indexed="81"/>
            <rFont val="Tahoma"/>
            <family val="2"/>
          </rPr>
          <t xml:space="preserve">
number of columns at the siphon chamber
</t>
        </r>
      </text>
    </comment>
    <comment ref="E49" authorId="0" shapeId="0">
      <text>
        <r>
          <rPr>
            <b/>
            <sz val="9"/>
            <color indexed="81"/>
            <rFont val="Tahoma"/>
            <family val="2"/>
          </rPr>
          <t>Author:</t>
        </r>
        <r>
          <rPr>
            <sz val="9"/>
            <color indexed="81"/>
            <rFont val="Tahoma"/>
            <family val="2"/>
          </rPr>
          <t xml:space="preserve">
thickness of the footing</t>
        </r>
      </text>
    </comment>
    <comment ref="F49" authorId="0" shapeId="0">
      <text>
        <r>
          <rPr>
            <b/>
            <sz val="9"/>
            <color indexed="81"/>
            <rFont val="Tahoma"/>
            <family val="2"/>
          </rPr>
          <t>Author:</t>
        </r>
        <r>
          <rPr>
            <sz val="9"/>
            <color indexed="81"/>
            <rFont val="Tahoma"/>
            <family val="2"/>
          </rPr>
          <t xml:space="preserve">
width of the footing</t>
        </r>
      </text>
    </comment>
    <comment ref="D55" authorId="0" shapeId="0">
      <text>
        <r>
          <rPr>
            <b/>
            <sz val="9"/>
            <color indexed="81"/>
            <rFont val="Tahoma"/>
            <family val="2"/>
          </rPr>
          <t>Author:</t>
        </r>
        <r>
          <rPr>
            <sz val="9"/>
            <color indexed="81"/>
            <rFont val="Tahoma"/>
            <family val="2"/>
          </rPr>
          <t xml:space="preserve">
Beam 3</t>
        </r>
      </text>
    </comment>
    <comment ref="E55" authorId="0" shapeId="0">
      <text>
        <r>
          <rPr>
            <b/>
            <sz val="9"/>
            <color indexed="81"/>
            <rFont val="Tahoma"/>
            <family val="2"/>
          </rPr>
          <t>Author:</t>
        </r>
        <r>
          <rPr>
            <sz val="9"/>
            <color indexed="81"/>
            <rFont val="Tahoma"/>
            <family val="2"/>
          </rPr>
          <t xml:space="preserve">
beam 4</t>
        </r>
      </text>
    </comment>
    <comment ref="D67" authorId="0" shapeId="0">
      <text>
        <r>
          <rPr>
            <b/>
            <sz val="9"/>
            <color indexed="81"/>
            <rFont val="Tahoma"/>
            <family val="2"/>
          </rPr>
          <t>Author:</t>
        </r>
        <r>
          <rPr>
            <sz val="9"/>
            <color indexed="81"/>
            <rFont val="Tahoma"/>
            <family val="2"/>
          </rPr>
          <t xml:space="preserve">
inside length of the reactor</t>
        </r>
      </text>
    </comment>
    <comment ref="E67" authorId="0" shapeId="0">
      <text>
        <r>
          <rPr>
            <b/>
            <sz val="9"/>
            <color indexed="81"/>
            <rFont val="Tahoma"/>
            <family val="2"/>
          </rPr>
          <t>Author:</t>
        </r>
        <r>
          <rPr>
            <sz val="9"/>
            <color indexed="81"/>
            <rFont val="Tahoma"/>
            <family val="2"/>
          </rPr>
          <t xml:space="preserve">
inside width of the reactor</t>
        </r>
      </text>
    </comment>
    <comment ref="F67" authorId="0" shapeId="0">
      <text>
        <r>
          <rPr>
            <b/>
            <sz val="9"/>
            <color indexed="81"/>
            <rFont val="Tahoma"/>
            <family val="2"/>
          </rPr>
          <t>Author:</t>
        </r>
        <r>
          <rPr>
            <sz val="9"/>
            <color indexed="81"/>
            <rFont val="Tahoma"/>
            <family val="2"/>
          </rPr>
          <t xml:space="preserve">
inside slab surface of the outlet chamber</t>
        </r>
      </text>
    </comment>
    <comment ref="D75" authorId="0" shapeId="0">
      <text>
        <r>
          <rPr>
            <b/>
            <sz val="9"/>
            <color indexed="81"/>
            <rFont val="Tahoma"/>
            <family val="2"/>
          </rPr>
          <t>Author:</t>
        </r>
        <r>
          <rPr>
            <sz val="9"/>
            <color indexed="81"/>
            <rFont val="Tahoma"/>
            <family val="2"/>
          </rPr>
          <t xml:space="preserve">
external side of beam</t>
        </r>
      </text>
    </comment>
    <comment ref="E75" authorId="0" shapeId="0">
      <text>
        <r>
          <rPr>
            <b/>
            <sz val="9"/>
            <color indexed="81"/>
            <rFont val="Tahoma"/>
            <family val="2"/>
          </rPr>
          <t>Author:</t>
        </r>
        <r>
          <rPr>
            <sz val="9"/>
            <color indexed="81"/>
            <rFont val="Tahoma"/>
            <family val="2"/>
          </rPr>
          <t xml:space="preserve">
inside sides of beam</t>
        </r>
      </text>
    </comment>
    <comment ref="D85" authorId="0" shapeId="0">
      <text>
        <r>
          <rPr>
            <b/>
            <sz val="9"/>
            <color indexed="81"/>
            <rFont val="Tahoma"/>
            <family val="2"/>
          </rPr>
          <t>Author:</t>
        </r>
        <r>
          <rPr>
            <sz val="9"/>
            <color indexed="81"/>
            <rFont val="Tahoma"/>
            <family val="2"/>
          </rPr>
          <t xml:space="preserve">
ST/ABR length</t>
        </r>
      </text>
    </comment>
    <comment ref="E85" authorId="0" shapeId="0">
      <text>
        <r>
          <rPr>
            <b/>
            <sz val="9"/>
            <color indexed="81"/>
            <rFont val="Tahoma"/>
            <family val="2"/>
          </rPr>
          <t>Author:</t>
        </r>
        <r>
          <rPr>
            <sz val="9"/>
            <color indexed="81"/>
            <rFont val="Tahoma"/>
            <family val="2"/>
          </rPr>
          <t xml:space="preserve">
internal walls of the ST/ABR</t>
        </r>
      </text>
    </comment>
    <comment ref="F85" authorId="0" shapeId="0">
      <text>
        <r>
          <rPr>
            <b/>
            <sz val="9"/>
            <color indexed="81"/>
            <rFont val="Tahoma"/>
            <family val="2"/>
          </rPr>
          <t>Author:</t>
        </r>
        <r>
          <rPr>
            <sz val="9"/>
            <color indexed="81"/>
            <rFont val="Tahoma"/>
            <family val="2"/>
          </rPr>
          <t xml:space="preserve">
ST/ABR walls height</t>
        </r>
      </text>
    </comment>
    <comment ref="H85" authorId="0" shapeId="0">
      <text>
        <r>
          <rPr>
            <b/>
            <sz val="9"/>
            <color indexed="81"/>
            <rFont val="Tahoma"/>
            <family val="2"/>
          </rPr>
          <t>Author:</t>
        </r>
        <r>
          <rPr>
            <sz val="9"/>
            <color indexed="81"/>
            <rFont val="Tahoma"/>
            <family val="2"/>
          </rPr>
          <t xml:space="preserve">
walls surface of ST/ABR</t>
        </r>
      </text>
    </comment>
    <comment ref="D86" authorId="0" shapeId="0">
      <text>
        <r>
          <rPr>
            <b/>
            <sz val="9"/>
            <color indexed="81"/>
            <rFont val="Tahoma"/>
            <family val="2"/>
          </rPr>
          <t>Author:</t>
        </r>
        <r>
          <rPr>
            <sz val="9"/>
            <color indexed="81"/>
            <rFont val="Tahoma"/>
            <family val="2"/>
          </rPr>
          <t xml:space="preserve">
siphon chamber length</t>
        </r>
      </text>
    </comment>
    <comment ref="E86" authorId="0" shapeId="0">
      <text>
        <r>
          <rPr>
            <b/>
            <sz val="9"/>
            <color indexed="81"/>
            <rFont val="Tahoma"/>
            <family val="2"/>
          </rPr>
          <t>Author:</t>
        </r>
        <r>
          <rPr>
            <sz val="9"/>
            <color indexed="81"/>
            <rFont val="Tahoma"/>
            <family val="2"/>
          </rPr>
          <t xml:space="preserve">
siphon chamber width</t>
        </r>
      </text>
    </comment>
    <comment ref="F86" authorId="0" shapeId="0">
      <text>
        <r>
          <rPr>
            <b/>
            <sz val="9"/>
            <color indexed="81"/>
            <rFont val="Tahoma"/>
            <family val="2"/>
          </rPr>
          <t>Author:</t>
        </r>
        <r>
          <rPr>
            <sz val="9"/>
            <color indexed="81"/>
            <rFont val="Tahoma"/>
            <family val="2"/>
          </rPr>
          <t xml:space="preserve">
Siphon chamber walls height</t>
        </r>
      </text>
    </comment>
    <comment ref="G86" authorId="0" shapeId="0">
      <text>
        <r>
          <rPr>
            <b/>
            <sz val="9"/>
            <color indexed="81"/>
            <rFont val="Tahoma"/>
            <family val="2"/>
          </rPr>
          <t>Author:</t>
        </r>
        <r>
          <rPr>
            <sz val="9"/>
            <color indexed="81"/>
            <rFont val="Tahoma"/>
            <family val="2"/>
          </rPr>
          <t xml:space="preserve">
additional wall between the columns of the siphon chambe</t>
        </r>
      </text>
    </comment>
    <comment ref="H86" authorId="0" shapeId="0">
      <text>
        <r>
          <rPr>
            <b/>
            <sz val="9"/>
            <color indexed="81"/>
            <rFont val="Tahoma"/>
            <family val="2"/>
          </rPr>
          <t>Author:</t>
        </r>
        <r>
          <rPr>
            <sz val="9"/>
            <color indexed="81"/>
            <rFont val="Tahoma"/>
            <family val="2"/>
          </rPr>
          <t xml:space="preserve">
Walls surface of siphon chamber + deeper wall following the columns
</t>
        </r>
      </text>
    </comment>
    <comment ref="D89" authorId="0" shapeId="0">
      <text>
        <r>
          <rPr>
            <b/>
            <sz val="9"/>
            <color indexed="81"/>
            <rFont val="Tahoma"/>
            <family val="2"/>
          </rPr>
          <t>Author:</t>
        </r>
        <r>
          <rPr>
            <sz val="9"/>
            <color indexed="81"/>
            <rFont val="Tahoma"/>
            <family val="2"/>
          </rPr>
          <t xml:space="preserve">
2 side edges</t>
        </r>
      </text>
    </comment>
    <comment ref="E89" authorId="0" shapeId="0">
      <text>
        <r>
          <rPr>
            <b/>
            <sz val="9"/>
            <color indexed="81"/>
            <rFont val="Tahoma"/>
            <family val="2"/>
          </rPr>
          <t>Author:</t>
        </r>
        <r>
          <rPr>
            <sz val="9"/>
            <color indexed="81"/>
            <rFont val="Tahoma"/>
            <family val="2"/>
          </rPr>
          <t xml:space="preserve">
the central edge with gaps</t>
        </r>
      </text>
    </comment>
    <comment ref="D91" authorId="0" shapeId="0">
      <text>
        <r>
          <rPr>
            <b/>
            <sz val="9"/>
            <color indexed="81"/>
            <rFont val="Tahoma"/>
            <family val="2"/>
          </rPr>
          <t>Author:</t>
        </r>
        <r>
          <rPr>
            <sz val="9"/>
            <color indexed="81"/>
            <rFont val="Tahoma"/>
            <family val="2"/>
          </rPr>
          <t xml:space="preserve">
length outlet chamber</t>
        </r>
      </text>
    </comment>
    <comment ref="E91" authorId="0" shapeId="0">
      <text>
        <r>
          <rPr>
            <b/>
            <sz val="9"/>
            <color indexed="81"/>
            <rFont val="Tahoma"/>
            <family val="2"/>
          </rPr>
          <t>Author:</t>
        </r>
        <r>
          <rPr>
            <sz val="9"/>
            <color indexed="81"/>
            <rFont val="Tahoma"/>
            <family val="2"/>
          </rPr>
          <t xml:space="preserve">
width inner wall outler chamber</t>
        </r>
      </text>
    </comment>
    <comment ref="F91" authorId="0" shapeId="0">
      <text>
        <r>
          <rPr>
            <b/>
            <sz val="9"/>
            <color indexed="81"/>
            <rFont val="Tahoma"/>
            <family val="2"/>
          </rPr>
          <t>Author:</t>
        </r>
        <r>
          <rPr>
            <sz val="9"/>
            <color indexed="81"/>
            <rFont val="Tahoma"/>
            <family val="2"/>
          </rPr>
          <t xml:space="preserve">
depth outlet chamber</t>
        </r>
      </text>
    </comment>
    <comment ref="D101" authorId="0" shapeId="0">
      <text>
        <r>
          <rPr>
            <b/>
            <sz val="9"/>
            <color indexed="81"/>
            <rFont val="Tahoma"/>
            <family val="2"/>
          </rPr>
          <t>Author:</t>
        </r>
        <r>
          <rPr>
            <sz val="9"/>
            <color indexed="81"/>
            <rFont val="Tahoma"/>
            <family val="2"/>
          </rPr>
          <t xml:space="preserve">
Beam 1</t>
        </r>
      </text>
    </comment>
    <comment ref="E101" authorId="0" shapeId="0">
      <text>
        <r>
          <rPr>
            <b/>
            <sz val="9"/>
            <color indexed="81"/>
            <rFont val="Tahoma"/>
            <family val="2"/>
          </rPr>
          <t>Author:</t>
        </r>
        <r>
          <rPr>
            <sz val="9"/>
            <color indexed="81"/>
            <rFont val="Tahoma"/>
            <family val="2"/>
          </rPr>
          <t xml:space="preserve">
Beam 2</t>
        </r>
      </text>
    </comment>
    <comment ref="D103" authorId="0" shapeId="0">
      <text>
        <r>
          <rPr>
            <b/>
            <sz val="9"/>
            <color indexed="81"/>
            <rFont val="Tahoma"/>
            <family val="2"/>
          </rPr>
          <t>Author:</t>
        </r>
        <r>
          <rPr>
            <sz val="9"/>
            <color indexed="81"/>
            <rFont val="Tahoma"/>
            <family val="2"/>
          </rPr>
          <t xml:space="preserve">
overall length</t>
        </r>
      </text>
    </comment>
    <comment ref="E103" authorId="0" shapeId="0">
      <text>
        <r>
          <rPr>
            <b/>
            <sz val="9"/>
            <color indexed="81"/>
            <rFont val="Tahoma"/>
            <family val="2"/>
          </rPr>
          <t>Author:</t>
        </r>
        <r>
          <rPr>
            <sz val="9"/>
            <color indexed="81"/>
            <rFont val="Tahoma"/>
            <family val="2"/>
          </rPr>
          <t xml:space="preserve">
overall width
</t>
        </r>
      </text>
    </comment>
    <comment ref="D104" authorId="0" shapeId="0">
      <text>
        <r>
          <rPr>
            <b/>
            <sz val="9"/>
            <color indexed="81"/>
            <rFont val="Tahoma"/>
            <family val="2"/>
          </rPr>
          <t>Author:</t>
        </r>
        <r>
          <rPr>
            <sz val="9"/>
            <color indexed="81"/>
            <rFont val="Tahoma"/>
            <family val="2"/>
          </rPr>
          <t xml:space="preserve">
volume of reinforced fibre manholes to deduct</t>
        </r>
      </text>
    </comment>
    <comment ref="E104" authorId="0" shapeId="0">
      <text>
        <r>
          <rPr>
            <b/>
            <sz val="9"/>
            <color indexed="81"/>
            <rFont val="Tahoma"/>
            <family val="2"/>
          </rPr>
          <t>Author:</t>
        </r>
        <r>
          <rPr>
            <sz val="9"/>
            <color indexed="81"/>
            <rFont val="Tahoma"/>
            <family val="2"/>
          </rPr>
          <t xml:space="preserve">
volume of PCC manholes to deduct</t>
        </r>
      </text>
    </comment>
    <comment ref="F104" authorId="0" shapeId="0">
      <text>
        <r>
          <rPr>
            <b/>
            <sz val="9"/>
            <color indexed="81"/>
            <rFont val="Tahoma"/>
            <family val="2"/>
          </rPr>
          <t>Author:</t>
        </r>
        <r>
          <rPr>
            <sz val="9"/>
            <color indexed="81"/>
            <rFont val="Tahoma"/>
            <family val="2"/>
          </rPr>
          <t xml:space="preserve">
slab of the outlet chamber</t>
        </r>
      </text>
    </comment>
    <comment ref="D133" authorId="0" shapeId="0">
      <text>
        <r>
          <rPr>
            <b/>
            <sz val="9"/>
            <color indexed="81"/>
            <rFont val="Tahoma"/>
            <family val="2"/>
          </rPr>
          <t>Author:</t>
        </r>
        <r>
          <rPr>
            <sz val="9"/>
            <color indexed="81"/>
            <rFont val="Tahoma"/>
            <family val="2"/>
          </rPr>
          <t xml:space="preserve">
inlet pipe
</t>
        </r>
      </text>
    </comment>
    <comment ref="E133" authorId="0" shapeId="0">
      <text>
        <r>
          <rPr>
            <b/>
            <sz val="9"/>
            <color indexed="81"/>
            <rFont val="Tahoma"/>
            <family val="2"/>
          </rPr>
          <t>Author:</t>
        </r>
        <r>
          <rPr>
            <sz val="9"/>
            <color indexed="81"/>
            <rFont val="Tahoma"/>
            <family val="2"/>
          </rPr>
          <t xml:space="preserve">
outlet pipes</t>
        </r>
      </text>
    </comment>
    <comment ref="D135" authorId="0" shapeId="0">
      <text>
        <r>
          <rPr>
            <b/>
            <sz val="9"/>
            <color indexed="81"/>
            <rFont val="Tahoma"/>
            <family val="2"/>
          </rPr>
          <t>Author:</t>
        </r>
        <r>
          <rPr>
            <sz val="9"/>
            <color indexed="81"/>
            <rFont val="Tahoma"/>
            <family val="2"/>
          </rPr>
          <t xml:space="preserve">
ABR pipes</t>
        </r>
      </text>
    </comment>
    <comment ref="E135" authorId="0" shapeId="0">
      <text>
        <r>
          <rPr>
            <b/>
            <sz val="9"/>
            <color indexed="81"/>
            <rFont val="Tahoma"/>
            <family val="2"/>
          </rPr>
          <t>Author:</t>
        </r>
        <r>
          <rPr>
            <sz val="9"/>
            <color indexed="81"/>
            <rFont val="Tahoma"/>
            <family val="2"/>
          </rPr>
          <t xml:space="preserve">
AF1 pipes</t>
        </r>
      </text>
    </comment>
    <comment ref="F135" authorId="0" shapeId="0">
      <text>
        <r>
          <rPr>
            <b/>
            <sz val="9"/>
            <color indexed="81"/>
            <rFont val="Tahoma"/>
            <family val="2"/>
          </rPr>
          <t>Author:</t>
        </r>
        <r>
          <rPr>
            <sz val="9"/>
            <color indexed="81"/>
            <rFont val="Tahoma"/>
            <family val="2"/>
          </rPr>
          <t xml:space="preserve">
AF2 pipes</t>
        </r>
      </text>
    </comment>
    <comment ref="F167" authorId="0" shapeId="0">
      <text>
        <r>
          <rPr>
            <b/>
            <sz val="9"/>
            <color indexed="81"/>
            <rFont val="Tahoma"/>
            <family val="2"/>
          </rPr>
          <t>Author:</t>
        </r>
        <r>
          <rPr>
            <sz val="9"/>
            <color indexed="81"/>
            <rFont val="Tahoma"/>
            <family val="2"/>
          </rPr>
          <t xml:space="preserve">
height of filter media layer</t>
        </r>
      </text>
    </comment>
  </commentList>
</comments>
</file>

<file path=xl/comments3.xml><?xml version="1.0" encoding="utf-8"?>
<comments xmlns="http://schemas.openxmlformats.org/spreadsheetml/2006/main">
  <authors>
    <author>Author</author>
  </authors>
  <commentList>
    <comment ref="D29" authorId="0" shapeId="0">
      <text>
        <r>
          <rPr>
            <b/>
            <sz val="9"/>
            <color indexed="81"/>
            <rFont val="Tahoma"/>
            <family val="2"/>
          </rPr>
          <t>Author:</t>
        </r>
        <r>
          <rPr>
            <sz val="9"/>
            <color indexed="81"/>
            <rFont val="Tahoma"/>
            <family val="2"/>
          </rPr>
          <t xml:space="preserve">
cross sectional area</t>
        </r>
      </text>
    </comment>
    <comment ref="F29" authorId="0" shapeId="0">
      <text>
        <r>
          <rPr>
            <b/>
            <sz val="9"/>
            <color indexed="81"/>
            <rFont val="Tahoma"/>
            <family val="2"/>
          </rPr>
          <t>Author:</t>
        </r>
        <r>
          <rPr>
            <sz val="9"/>
            <color indexed="81"/>
            <rFont val="Tahoma"/>
            <family val="2"/>
          </rPr>
          <t xml:space="preserve">
width of a bed</t>
        </r>
      </text>
    </comment>
    <comment ref="G29" authorId="0" shapeId="0">
      <text>
        <r>
          <rPr>
            <b/>
            <sz val="9"/>
            <color indexed="81"/>
            <rFont val="Tahoma"/>
            <family val="2"/>
          </rPr>
          <t>Author:</t>
        </r>
        <r>
          <rPr>
            <sz val="9"/>
            <color indexed="81"/>
            <rFont val="Tahoma"/>
            <family val="2"/>
          </rPr>
          <t xml:space="preserve">
length of a bed</t>
        </r>
      </text>
    </comment>
    <comment ref="D91" authorId="0" shapeId="0">
      <text>
        <r>
          <rPr>
            <b/>
            <sz val="9"/>
            <color indexed="81"/>
            <rFont val="Tahoma"/>
            <family val="2"/>
          </rPr>
          <t>Author:</t>
        </r>
        <r>
          <rPr>
            <sz val="9"/>
            <color indexed="81"/>
            <rFont val="Tahoma"/>
            <family val="2"/>
          </rPr>
          <t xml:space="preserve">
horizontal</t>
        </r>
      </text>
    </comment>
    <comment ref="E91" authorId="0" shapeId="0">
      <text>
        <r>
          <rPr>
            <b/>
            <sz val="9"/>
            <color indexed="81"/>
            <rFont val="Tahoma"/>
            <family val="2"/>
          </rPr>
          <t>Author:</t>
        </r>
        <r>
          <rPr>
            <sz val="9"/>
            <color indexed="81"/>
            <rFont val="Tahoma"/>
            <family val="2"/>
          </rPr>
          <t xml:space="preserve">
slanted</t>
        </r>
      </text>
    </comment>
  </commentList>
</comments>
</file>

<file path=xl/comments4.xml><?xml version="1.0" encoding="utf-8"?>
<comments xmlns="http://schemas.openxmlformats.org/spreadsheetml/2006/main">
  <authors>
    <author>Author</author>
  </authors>
  <commentList>
    <comment ref="D9" authorId="0" shapeId="0">
      <text>
        <r>
          <rPr>
            <b/>
            <sz val="9"/>
            <color indexed="81"/>
            <rFont val="Tahoma"/>
            <family val="2"/>
          </rPr>
          <t>Author:</t>
        </r>
        <r>
          <rPr>
            <sz val="9"/>
            <color indexed="81"/>
            <rFont val="Tahoma"/>
            <family val="2"/>
          </rPr>
          <t xml:space="preserve">
length and width of the DTF site</t>
        </r>
      </text>
    </comment>
    <comment ref="D35" authorId="0" shapeId="0">
      <text>
        <r>
          <rPr>
            <b/>
            <sz val="9"/>
            <color indexed="81"/>
            <rFont val="Tahoma"/>
            <family val="2"/>
          </rPr>
          <t>Author:</t>
        </r>
        <r>
          <rPr>
            <sz val="9"/>
            <color indexed="81"/>
            <rFont val="Tahoma"/>
            <family val="2"/>
          </rPr>
          <t xml:space="preserve">
outlet SDB</t>
        </r>
      </text>
    </comment>
    <comment ref="E35" authorId="0" shapeId="0">
      <text>
        <r>
          <rPr>
            <b/>
            <sz val="9"/>
            <color indexed="81"/>
            <rFont val="Tahoma"/>
            <family val="2"/>
          </rPr>
          <t>Author:</t>
        </r>
        <r>
          <rPr>
            <sz val="9"/>
            <color indexed="81"/>
            <rFont val="Tahoma"/>
            <family val="2"/>
          </rPr>
          <t xml:space="preserve">
Inlet VFCW</t>
        </r>
      </text>
    </comment>
    <comment ref="F35" authorId="0" shapeId="0">
      <text>
        <r>
          <rPr>
            <b/>
            <sz val="9"/>
            <color indexed="81"/>
            <rFont val="Tahoma"/>
            <family val="2"/>
          </rPr>
          <t>Author:</t>
        </r>
        <r>
          <rPr>
            <sz val="9"/>
            <color indexed="81"/>
            <rFont val="Tahoma"/>
            <family val="2"/>
          </rPr>
          <t xml:space="preserve">
Inspection chambers on site</t>
        </r>
      </text>
    </comment>
  </commentList>
</comments>
</file>

<file path=xl/sharedStrings.xml><?xml version="1.0" encoding="utf-8"?>
<sst xmlns="http://schemas.openxmlformats.org/spreadsheetml/2006/main" count="888" uniqueCount="394">
  <si>
    <t>ITEM</t>
  </si>
  <si>
    <t>ITEM DESCRIPTION</t>
  </si>
  <si>
    <t>UNIT</t>
  </si>
  <si>
    <t>m</t>
  </si>
  <si>
    <t>RATE [KSh]</t>
  </si>
  <si>
    <t>AMOUNT [KSh]</t>
  </si>
  <si>
    <t>pcs</t>
  </si>
  <si>
    <t>EARTHWORKS</t>
  </si>
  <si>
    <t>Tree of girth: 500mm - 1m (provisional)</t>
  </si>
  <si>
    <t>nr</t>
  </si>
  <si>
    <r>
      <t>m</t>
    </r>
    <r>
      <rPr>
        <vertAlign val="superscript"/>
        <sz val="10"/>
        <color theme="1"/>
        <rFont val="Arial"/>
        <family val="2"/>
      </rPr>
      <t>3</t>
    </r>
  </si>
  <si>
    <r>
      <t>m</t>
    </r>
    <r>
      <rPr>
        <vertAlign val="superscript"/>
        <sz val="10"/>
        <color theme="1"/>
        <rFont val="Arial"/>
        <family val="2"/>
      </rPr>
      <t>2</t>
    </r>
  </si>
  <si>
    <t>PIPEWORK - PIPES and FITTINGS</t>
  </si>
  <si>
    <t>BILL No</t>
  </si>
  <si>
    <t>DESCRIPTION</t>
  </si>
  <si>
    <t>(KSHs)</t>
  </si>
  <si>
    <t>Bill No 1</t>
  </si>
  <si>
    <t>Bill No 4</t>
  </si>
  <si>
    <t>Bill No 5</t>
  </si>
  <si>
    <t>Bill No 2</t>
  </si>
  <si>
    <t>VERTICAL FLOW CONSTRUCTED WETLAND</t>
  </si>
  <si>
    <t>Bill No 3</t>
  </si>
  <si>
    <t>SLUDGE DRYING REED BED</t>
  </si>
  <si>
    <t>Bill No 6</t>
  </si>
  <si>
    <t>RECEIVING BAY AND BALANCING TANKS</t>
  </si>
  <si>
    <t>Bill No 7</t>
  </si>
  <si>
    <t>AMOUNT</t>
  </si>
  <si>
    <t>AUXILIARY WORKS</t>
  </si>
  <si>
    <t>TOTAL INVESTMENT COSTS [KSh]</t>
  </si>
  <si>
    <t>QUANTITY/ CHAINAGE</t>
  </si>
  <si>
    <r>
      <t>m</t>
    </r>
    <r>
      <rPr>
        <vertAlign val="superscript"/>
        <sz val="10"/>
        <rFont val="Times New Roman"/>
        <family val="1"/>
      </rPr>
      <t>3</t>
    </r>
  </si>
  <si>
    <t>-Ditto- for excavation in rock Class 'B', blasting not permitted (Provisional)</t>
  </si>
  <si>
    <t>-Ditto- for excavation in rock Class 'C', blasting not permitted (Provisional)</t>
  </si>
  <si>
    <r>
      <t>m</t>
    </r>
    <r>
      <rPr>
        <vertAlign val="superscript"/>
        <sz val="10"/>
        <rFont val="Times New Roman"/>
        <family val="1"/>
      </rPr>
      <t>2</t>
    </r>
  </si>
  <si>
    <t>Kg</t>
  </si>
  <si>
    <t>Formwork</t>
  </si>
  <si>
    <t xml:space="preserve">Provide and fix shuttering including propping, strutting and striking, all as specified </t>
  </si>
  <si>
    <t xml:space="preserve">200 mm Walling </t>
  </si>
  <si>
    <t>WALLING</t>
  </si>
  <si>
    <t>Maximum depth n.e. 1.0 m after stripping of top soil</t>
  </si>
  <si>
    <t>Tree of girth: up to 500mm (provisional)</t>
  </si>
  <si>
    <t>Provide reinforcement  - deformed high yield steel Y10 bars</t>
  </si>
  <si>
    <t>General Clearance</t>
  </si>
  <si>
    <t>Removal of trees and stumps</t>
  </si>
  <si>
    <t>Concrete</t>
  </si>
  <si>
    <t>CONCRETE / REINFORCEMENT/ FOMWORKS</t>
  </si>
  <si>
    <t>Horizontal soffits of suspended slabs</t>
  </si>
  <si>
    <t>Sawn Formwork - Class F1 Finish</t>
  </si>
  <si>
    <t>Wrot Formwork - Class F3 Finish</t>
  </si>
  <si>
    <t>Sides of columns</t>
  </si>
  <si>
    <t xml:space="preserve"> </t>
  </si>
  <si>
    <t>Bituminous felt damp-proof course under 200mm wide walls</t>
  </si>
  <si>
    <t>Extra over Items :  for excavation in rock Class 'A', blasting not permitted (Provisional), to be approved and directed by the engineer</t>
  </si>
  <si>
    <t>Bill No 8</t>
  </si>
  <si>
    <t>BIOGAS SETTLER/DIGESTER</t>
  </si>
  <si>
    <t>Old BoQs Frank</t>
  </si>
  <si>
    <t>Surface area of windows</t>
  </si>
  <si>
    <t>General surfaces of fascia boards</t>
  </si>
  <si>
    <t>PAINTING AND DECORATING</t>
  </si>
  <si>
    <t>0.10 - 0.50 square metres</t>
  </si>
  <si>
    <r>
      <t>m</t>
    </r>
    <r>
      <rPr>
        <sz val="10"/>
        <color theme="1"/>
        <rFont val="Calibri"/>
        <family val="2"/>
      </rPr>
      <t>²</t>
    </r>
  </si>
  <si>
    <t xml:space="preserve">Window size 1200 x 1200mm high </t>
  </si>
  <si>
    <t>Steel Casement Windows</t>
  </si>
  <si>
    <t>METALWORK</t>
  </si>
  <si>
    <t>ROOF COVERINGS</t>
  </si>
  <si>
    <t>Reinforcement</t>
  </si>
  <si>
    <r>
      <t>m</t>
    </r>
    <r>
      <rPr>
        <sz val="10"/>
        <color theme="1"/>
        <rFont val="Calibri"/>
        <family val="2"/>
      </rPr>
      <t>³</t>
    </r>
  </si>
  <si>
    <t>Calculated separately on a spreadsheet.</t>
  </si>
  <si>
    <t>Pipes</t>
  </si>
  <si>
    <t>Fittings and Valves</t>
  </si>
  <si>
    <t>Pipe laying</t>
  </si>
  <si>
    <t>Carpentry and joining</t>
  </si>
  <si>
    <t>Roofing sheets</t>
  </si>
  <si>
    <t>ROOFING</t>
  </si>
  <si>
    <t>Supply and install:</t>
  </si>
  <si>
    <t>5 pieces, each 3m</t>
  </si>
  <si>
    <t>Nr of purlins x length</t>
  </si>
  <si>
    <t>Provide and install the following complete with associated pipework and fittings</t>
  </si>
  <si>
    <t>Tiling</t>
  </si>
  <si>
    <t>QUANTITY</t>
  </si>
  <si>
    <r>
      <rPr>
        <b/>
        <sz val="11"/>
        <color theme="1"/>
        <rFont val="Arial"/>
        <family val="2"/>
      </rPr>
      <t>WSTF</t>
    </r>
    <r>
      <rPr>
        <sz val="11"/>
        <color theme="1"/>
        <rFont val="Arial"/>
        <family val="2"/>
      </rPr>
      <t xml:space="preserve"> 
URBAN SANITATION UPSCALING PROGRAMM
1st Call</t>
    </r>
  </si>
  <si>
    <t>Siphon</t>
  </si>
  <si>
    <t>AMOUNT (KSh)</t>
  </si>
  <si>
    <t>SUBTOTAL 2</t>
  </si>
  <si>
    <t>SUBTOTAL 3</t>
  </si>
  <si>
    <t>SUBTOTAL 4</t>
  </si>
  <si>
    <t>SUBTOTAL 5</t>
  </si>
  <si>
    <t>SUBTOTAL 6</t>
  </si>
  <si>
    <t xml:space="preserve">TOTAL </t>
  </si>
  <si>
    <t>SUBTOTAL 8</t>
  </si>
  <si>
    <t>METAL WORKS</t>
  </si>
  <si>
    <t>SUBTOTAL 1</t>
  </si>
  <si>
    <t>CHAMBERS</t>
  </si>
  <si>
    <t>ROADS</t>
  </si>
  <si>
    <t>TESTING OF SYSTEM</t>
  </si>
  <si>
    <t>SUBTOTAL 11</t>
  </si>
  <si>
    <t>CONCRETE / REINFORCEMENT/ FORMWORKS</t>
  </si>
  <si>
    <t>2*Surface area of walls =( 48.7*2)=97.4</t>
  </si>
  <si>
    <t>Finishing</t>
  </si>
  <si>
    <t xml:space="preserve">Assumption 100% of top soil, 30% of excavated material to be disposed </t>
  </si>
  <si>
    <t>Assumption 100% of top soil, 30% of excavated material to be disposed</t>
  </si>
  <si>
    <t>Sides of ground slab</t>
  </si>
  <si>
    <t>Strip walling</t>
  </si>
  <si>
    <t xml:space="preserve">2*Surface area of walls </t>
  </si>
  <si>
    <t>ls</t>
  </si>
  <si>
    <t xml:space="preserve">Sides for beams </t>
  </si>
  <si>
    <t xml:space="preserve">Door size 900 x 2100 mm high </t>
  </si>
  <si>
    <t xml:space="preserve">Existing formation compacted to 95% MDD as shown in the drawing </t>
  </si>
  <si>
    <t>A=LxW</t>
  </si>
  <si>
    <t>ELECTRICAL CONNECTION</t>
  </si>
  <si>
    <t>SUBTOTAL 7</t>
  </si>
  <si>
    <t>height=2.1 under the beam</t>
  </si>
  <si>
    <t>height=excavation-footing height</t>
  </si>
  <si>
    <t>uPVC Flexible Jointed Pipes Nominal  Diameter 100mm</t>
  </si>
  <si>
    <t>Assumption: 30% of excavated material is class B</t>
  </si>
  <si>
    <t>SUBSTRUCTURE: CONCRETE / REINFORCEMENT/ FORMWORKS</t>
  </si>
  <si>
    <t>SUPERSTRUCTURE: CONCRETE / REINFORCEMENT/ FORMWORKS</t>
  </si>
  <si>
    <t>The rates shall include for all strutting, shuttering, stabilizing excavation phases and keeping the excavation free of water by pumping, bailing or other means</t>
  </si>
  <si>
    <t xml:space="preserve">200 mm walling </t>
  </si>
  <si>
    <t>ditto, but depth from 2.0m up to 3.0m</t>
  </si>
  <si>
    <t>Provide approved hard core and compact in layers of 200mm</t>
  </si>
  <si>
    <t>ditto, but depth from 1.0m up to 2m</t>
  </si>
  <si>
    <t>Supply and fix the following standard section horizontal bar type steel casement windows with one coat lead oxide primer complete with opening accessories including burglar proofing bedding and pointing around frames in cement mortar</t>
  </si>
  <si>
    <t>Window size 600 x 600mm high</t>
  </si>
  <si>
    <t>4mm thick clear sheet glass and glazing to steel casements  with putty in panes</t>
  </si>
  <si>
    <t>200 x 40mm fascia  board</t>
  </si>
  <si>
    <t>Supply and fix tiles on the floor and walling up to 1.2m high for the toilet area</t>
  </si>
  <si>
    <t>150mm hard core fill compacted base as shown in the drawing</t>
  </si>
  <si>
    <t>SUBTOTAL 9</t>
  </si>
  <si>
    <t xml:space="preserve">Prepare, knot, prime, stop and apply three coats first quality gloss paint </t>
  </si>
  <si>
    <t>Painting</t>
  </si>
  <si>
    <t>Damp-proof course</t>
  </si>
  <si>
    <t>Plaster</t>
  </si>
  <si>
    <t>Top soil removal</t>
  </si>
  <si>
    <t>Excavation for foundation</t>
  </si>
  <si>
    <t>Compaction</t>
  </si>
  <si>
    <t>FILTER MEDIA AND PLANTS</t>
  </si>
  <si>
    <t>PE liner</t>
  </si>
  <si>
    <t>Plants</t>
  </si>
  <si>
    <t>Filter media</t>
  </si>
  <si>
    <t>Supplementary parts</t>
  </si>
  <si>
    <t>Steelwork for columns</t>
  </si>
  <si>
    <t>Natural stone wall</t>
  </si>
  <si>
    <t>Glazing</t>
  </si>
  <si>
    <t>SUBTOTAL 10</t>
  </si>
  <si>
    <t>Excavation</t>
  </si>
  <si>
    <t>FENCING AND GATE</t>
  </si>
  <si>
    <t>WATER SUPPLY</t>
  </si>
  <si>
    <t>SIGN POST</t>
  </si>
  <si>
    <t>Beams: provide all materials, mix, place and compact concrete grade C25/20 ( 1:1.5:3)</t>
  </si>
  <si>
    <t>m3</t>
  </si>
  <si>
    <t>Sides of  beams</t>
  </si>
  <si>
    <t>Footing: provide all materials, mix, place and compact concrete grade C25/20 ( 1:1.5:3)</t>
  </si>
  <si>
    <t>Columns: provide all materials, mix, place and compact concrete grade C25/20 (1:1.5:3)</t>
  </si>
  <si>
    <t xml:space="preserve">Assumption: 10% of excavated material </t>
  </si>
  <si>
    <t>Assumption: 60% of excavated material is class A</t>
  </si>
  <si>
    <t>Plaster internally and externally with water proof cement mortar 1:3</t>
  </si>
  <si>
    <t>Supply, transport to site and store in secure place, including jointing material, bolts, gaskets, packing, jointing glues, etc. as applicable. Install, test and commission.</t>
  </si>
  <si>
    <t>The rate quoted shall be deemed to include, supply, transport to site, storage, excavation, laying, jointing and backfilling with selected excavated material in pipe trenches.  The rates shall include disposal of surplus material to tips identified by the Contractor in liaison with the Local Authority</t>
  </si>
  <si>
    <t>Suspended slab outlet chamber: Provide all materials, mix, place and compact concrete grade C25/20 (1:1.5:3) for outlet chamber suspended slab, depth of 150mm. Allow for a circular opening of 600mm dia.</t>
  </si>
  <si>
    <t>Assumption: 10% of excavated material 46.2³ is class C</t>
  </si>
  <si>
    <t>150mm dia uPVC pipe 200mm long (sleeve for overflow pipe in the siphon chamber)</t>
  </si>
  <si>
    <t>50mm dia. uPVC pipe 200mm long (sleeve for aeration holes in the ABR chambers)</t>
  </si>
  <si>
    <t>NOTE: 
1. All the rates include 16% VAT
2. All the rates include supply, handling, assembling, installation, deployment of machines, processing (i.e. welding), and all related labour work</t>
  </si>
  <si>
    <t>Clear area within the DTF site of all grass, bushes, shrubs, hedges and grub up roots</t>
  </si>
  <si>
    <t>SITE CLEARANCE AND GENERAL EXCAVATION</t>
  </si>
  <si>
    <t>Landscaping and grass planting</t>
  </si>
  <si>
    <t>Provide and plant approved grass and maintain until it takes roots</t>
  </si>
  <si>
    <t>Surface water drainage</t>
  </si>
  <si>
    <t>Gravel access road within the DTF</t>
  </si>
  <si>
    <t xml:space="preserve">Provide and erect on site a project sign board fully labelled complying with WSTF guideline 2013, as instructed by the project manager </t>
  </si>
  <si>
    <t>Excavate, part backfill after construction and remainder, cart away to tips or use as fill on site, all as directed by project manager</t>
  </si>
  <si>
    <t xml:space="preserve">FILTER MEDIA </t>
  </si>
  <si>
    <t xml:space="preserve">Natural stone block walling, medium chisel dressed, reinforced with 20 swg hoop iron at every third course, and bedded, jointed and bonded in cement mortar (1:3) </t>
  </si>
  <si>
    <t>Natural Stone Block Walling, medium chisel dressed, reinforced with 20 swg hoop iron at every third course, and bedded, jointed and bonded in cement mortar (1:3)</t>
  </si>
  <si>
    <t>width=0.6 ; depth=0.2</t>
  </si>
  <si>
    <t>depth of ground slab=0.15 ; surface area include platform for cistern (1.8*1.5)</t>
  </si>
  <si>
    <t>uPVC 150mm dia. rain gutter complete with accessories (e.g. union, end cap)</t>
  </si>
  <si>
    <t>uPVC 75mm down pipe with appropriates elbows</t>
  </si>
  <si>
    <t>Provide 25mm dia. HDPE water pipe and construct pipeline from the existing service line to the operator store through the overhead tank, incl. all required fittings. Allow for connection of the HDPE pipe to the service line with all appropriate fittings.</t>
  </si>
  <si>
    <t>item</t>
  </si>
  <si>
    <t>Provide and lay 100mm dia. Class 41 uPVC sewer pipe from the inspection chamber to the next treatment module</t>
  </si>
  <si>
    <t>Provide and install 15mm dia. HDPE water pipe in the washroom of the operator store, including all required fittings for connection and chasing all pipes within the wall and make good after</t>
  </si>
  <si>
    <t>Damp-proof membrane</t>
  </si>
  <si>
    <t>Supply and fix steel casement door with 50 x 50mm pressed metal frames, including hinges, pad bolts and tower bolts, all to manufacturer's details, with one coat lead oxide primer complete with opening accessories including bedding and and pointing around frames in cement mortar</t>
  </si>
  <si>
    <t>Steel Door</t>
  </si>
  <si>
    <t>IT4 (box profile) roofing sheets with resin coat laid on sawn cypress (Grade 2) battens size 100 x 50mm pressure impregnated with approved preservative</t>
  </si>
  <si>
    <t>Roof Timbers: mono pitch roof truss and overhanging canopy in sawn cypress grade II seasoned and pressure impregnated with wood preservative and timber joints with bolted and nailed connections as per the drawings</t>
  </si>
  <si>
    <t>Equal truss 4000mm clear span and 750mm high with 600mm eaves projection, in 100 x 50mm rafters and 100 x 50mm struts and ties with a spacing of 1500 mm C/C</t>
  </si>
  <si>
    <t>Other Roof Members: Sawn cypress grade II maximum moisture content 12% seasoned and pressure impregnated with wood preservative and timber joints with bolted and nailed connections as per drawings</t>
  </si>
  <si>
    <t>100 x 50mm purlins</t>
  </si>
  <si>
    <t>100 x 50mm wall plate tied to wall with 20 s.w.g. hoop iron at 900mm centres</t>
  </si>
  <si>
    <t>Ceiling</t>
  </si>
  <si>
    <t>50mm high cornice</t>
  </si>
  <si>
    <t>Provide and fix 9mm chipboard ceiling fixed on 600x600mm brandering (50x50mm). Allow for 1nr 600x600mm access hatch with cover</t>
  </si>
  <si>
    <t xml:space="preserve">Prepare, knot, prime, stop and apply three coats first quality emulsion paint </t>
  </si>
  <si>
    <t xml:space="preserve">Plastered surfaces internally </t>
  </si>
  <si>
    <t>Under side of the ceiling</t>
  </si>
  <si>
    <t>Flush door</t>
  </si>
  <si>
    <t xml:space="preserve">General surfaces of steel columns </t>
  </si>
  <si>
    <t xml:space="preserve">General surfaces of glazed metal windows, including burglar-proofing </t>
  </si>
  <si>
    <t xml:space="preserve">General surfaces of steel casement door and flush door </t>
  </si>
  <si>
    <t>Skirting tiles: 6mm thick and 100mm high ceramic coloured</t>
  </si>
  <si>
    <t xml:space="preserve">Allow for electrical connection including complete meter connection with meter box (KPLC), compact switch board, wiring and testing of the lighting system for two rooms (office and bathroom), 2 fluorescent bulbs, 2 switch buttons, 3 double electrical sockets and any other installation as to make lighting system operational as specified in the technical specifications or approved equivalent </t>
  </si>
  <si>
    <t>Steel tower</t>
  </si>
  <si>
    <t>Provide all material and construct a 3000mm high steel tower as specified in the drawings. Allow for excavating and placing of 4 nr class 25/20 concrete footing size 400x400x600mm deep as per drawings</t>
  </si>
  <si>
    <t>PCC SLABS</t>
  </si>
  <si>
    <t>Provide all material, fabricate and place PCC slabs 600x600mm around the operator store and allow for preparation of the bedding including all required earthwork</t>
  </si>
  <si>
    <t>Excavate earth drain to the lines and levels directed by the project manager. Depth to invert not exceeding 0.5m</t>
  </si>
  <si>
    <t>Allow for trimming of site to correct slopes and use excavated material as fill and cart-away remaining material to approved tips.</t>
  </si>
  <si>
    <t xml:space="preserve">Provide all materials and construct metal gate 6.0 m wide with 1 Nr 915 mm wide pedestrians entrance door within the gate, including 2 Nr pillars with column all as detailed on drawing, inclusive of painting with undercoating and finish coating </t>
  </si>
  <si>
    <t xml:space="preserve">Bulk excavations and top soil removal for the whole area of the road (depth n.e. 250mm). Spread top soil stacked on site for reuse. </t>
  </si>
  <si>
    <t xml:space="preserve">the footing </t>
  </si>
  <si>
    <t>Sides of the plinths</t>
  </si>
  <si>
    <t>Screed ground slab with water proof cement mortar 1:3 with a slope of 1% towards the door side where a channel is leading the drained water outside</t>
  </si>
  <si>
    <t>INCINERATOR</t>
  </si>
  <si>
    <t>Provide all materials: fire bricks, fire cement, ballast, sand, hinges, steel angle, steel channel RHS and flat sheet. Construct solid waste incinerator as specified in the drawing and plaster the external walls. Provide, connect and paint (quality gloss) 4m high DN150 steel pipe as chimney as per drawings. Fabricate, paint (quality gloss) and install steel top frame, cover, ash door and fire grate as per drawings</t>
  </si>
  <si>
    <t>Supply and fix 75mmx75mmx3mm thick and 3200mm long SHS column with fish tail lugs embeded in column footing as per drawings. Allow for welding of a 100x3mm U-shape steel sheet on top of the column to accommodate wall plate.</t>
  </si>
  <si>
    <t>Wire mesh</t>
  </si>
  <si>
    <t>Supply and install 50x50mm welded mesh to be welded to the steel column all around the incinerator shed</t>
  </si>
  <si>
    <t>Chimney support</t>
  </si>
  <si>
    <t>Supply and install 5mm thick steel cables from the roof of the shed to the top of the chimney</t>
  </si>
  <si>
    <t>Equal truss 2500mm clear span and 650mm high with 450mm eaves projection, in 100 x 50mm rafters and 100 x 50mm struts and ties with a spacing of 1500 mm C/C</t>
  </si>
  <si>
    <t>Roof Timbers: double pitch roof truss and overhanging canopy in sawn cypress grade II seasoned and pressure impregnated with wood preservative and timber joints with bolted and nailed connections as per the drawings</t>
  </si>
  <si>
    <t>Nr of purlins x length of the roof</t>
  </si>
  <si>
    <t xml:space="preserve">General surfaces of steel casement door </t>
  </si>
  <si>
    <t>Embankment</t>
  </si>
  <si>
    <t>Provide all material and fabricate reinforced precast concrete covers of 700x400x40mm with a 40x40mm angle frame connected with the welded mesh as per drawings. Allow for two metal handles per cover with a minimum of 100mm length and 40mm height. Apply 1 coat of primer and 2 coats of approved gloss paint to all metal parts. Allow for recess of 50x50mm on either side of the wall as per drawings.</t>
  </si>
  <si>
    <t>Provide all material, fabricate and place PCC slabs 600x600mm in front of the incinerator shed and allow for preparation of the bedding including all required earthwork</t>
  </si>
  <si>
    <t>Excavate for 3425mm long post holes (2700mm overground and 725mm underground), provide all materials and construct chain link fence to be gauge 12 galvanized steel wire double twist with 3 strands of gauge 16 barbed wire on concrete posts at 3 m centres all as per details on drawings provided including straining posts at every 10th post and additional posts at corners</t>
  </si>
  <si>
    <t>Supply, transport to site and store in secure place, jointing material, bolts, gaskets, packing, jointing glues, etc. as applicable. Install as per drawings, level, test and commission</t>
  </si>
  <si>
    <t xml:space="preserve">100mm dia. class 41 uPVC drain pipes </t>
  </si>
  <si>
    <t>pc</t>
  </si>
  <si>
    <t>Outlet pipe from the VFCW drainage channel to the discharge point at a depth n.e. 1.5m</t>
  </si>
  <si>
    <t>Excavate for foundations, part backfill after construction and remainder, cart away to tips or use as fill on site, all as directed by the Project Manager</t>
  </si>
  <si>
    <t>Beams: provide all materials, mix, place and compact concrete grade C25/20 (1:1.5:3)</t>
  </si>
  <si>
    <t>Provide and fix shuttering including propping, strutting and striking, all as specified.Sawn Formwork - Class F1 Finish</t>
  </si>
  <si>
    <t>Provide and fix shuttering including propping, strutting and striking, all as specified. Wrot Formwork - Class F3 Finish</t>
  </si>
  <si>
    <t>Screed the ground slab with water proof cement mortar 1:3</t>
  </si>
  <si>
    <t>Disposal of excavated material which cannot be used as backfill material on site. The rates shall include disposal of surplus material to tips identified by the Contractor in liaison with the Local Authority</t>
  </si>
  <si>
    <t>Drainage layer: supply and place approved 100mm thick layer of approved coarse gravel size 20-32mm as shown on the drawings.</t>
  </si>
  <si>
    <t>SOLID WASTE INCINERATOR</t>
  </si>
  <si>
    <t>Sides of beams</t>
  </si>
  <si>
    <t>200mm walling</t>
  </si>
  <si>
    <t>Provide approved hard core and compact in one layer of 250mm and blinded with sand or gravel at the drainage channel level</t>
  </si>
  <si>
    <t>Compact using approved material to the right formation level with a slope of 1% toward the drainage channel for each bed as shown in drawings</t>
  </si>
  <si>
    <t>Precast concrete covers</t>
  </si>
  <si>
    <t>Transition layer: supply and place 100mm thick layer of approved medium gravel size 10-14mm as shown on the drawings.</t>
  </si>
  <si>
    <t>Plaster walls internally and external wall above the ring beam with 12.5mm Thick Gauged Cement ratio 1:3</t>
  </si>
  <si>
    <t xml:space="preserve">200mm thick walling </t>
  </si>
  <si>
    <t>Provide all materials and install internal waste water drainage for the hand wash basin, the WC and the shower, to be connected to the inspection chamber outside the building</t>
  </si>
  <si>
    <t xml:space="preserve">Glazed ceramic wash hand basin </t>
  </si>
  <si>
    <t>Glazed Ceramic water closet</t>
  </si>
  <si>
    <t xml:space="preserve">Shower: instant shower head(Lorenzeti or equivalent) and 15mm dia. water tap </t>
  </si>
  <si>
    <r>
      <rPr>
        <b/>
        <u/>
        <sz val="10"/>
        <rFont val="Arial"/>
        <family val="2"/>
      </rPr>
      <t>Note</t>
    </r>
    <r>
      <rPr>
        <sz val="10"/>
        <rFont val="Arial"/>
        <family val="2"/>
      </rPr>
      <t>:- Girth shall be measured 1.0 m above the ground level
Trees to remove to be identified by the Project Manager</t>
    </r>
  </si>
  <si>
    <t>Provide and construct chambers as described below. The rates quoted shall include site clearance, excavation, disposal of excavated material, backfilling, compacting and fixing of all inlet, outlet at the bottom of chamber, including haunching works and smooth finishing etc. as specified and instructed by the project manager</t>
  </si>
  <si>
    <t>SITE AND AUXILIARY WORKS</t>
  </si>
  <si>
    <t>Supply and place the 1mm thick PE liner as shown on the drawing. Allow for welding of joints between two sheets using hot wedge welding machine (where applicable)</t>
  </si>
  <si>
    <t>Floor tiles for the office and the washroom: 6mm thick ceramic coloured</t>
  </si>
  <si>
    <t>Wall tiles around the washroom to the height of 1500mm: 4mm thick ceramic coloured</t>
  </si>
  <si>
    <t>SUBTOTAL 09</t>
  </si>
  <si>
    <t>ground slab of the shed + plinth + decks</t>
  </si>
  <si>
    <t>Horizontal soffits of suspended slab (for the 2 decks)</t>
  </si>
  <si>
    <t>Extra over for Items 1.21-1.22 : for excavation in rock Class 'A', blasting not permitted (Provisional), to be approved and directed by the Project Manager</t>
  </si>
  <si>
    <t>Extra over for Items 1.21-1.23 : for excavation in rock Class 'A', blasting not permitted (Provisional), to be approved and directed by the Project Manager</t>
  </si>
  <si>
    <t>Damp-proof membrane, gauge 1000 laid over hard core</t>
  </si>
  <si>
    <t>Blinding: Provide all materials, mix and place concrete grade C15/20 (1:3:6) for blinding of ground slab, mixing to be done using a concrete mixer approved to be suitable for the type of works by the Project Manager</t>
  </si>
  <si>
    <t>Ground slab: Provide all materials, mix, place and compact concrete grade C25/20 (1:1.5:3) for ground slab, mixing to be done using a concrete mixer approved to be suitable for the type of works by the Project Manager</t>
  </si>
  <si>
    <t>Plaster and Rendering</t>
  </si>
  <si>
    <t>Provide and install reinforced fibre covers 600mm x 450mm with a frame and fitted with a handle (inlet and outlet chamber)</t>
  </si>
  <si>
    <t>Damp-proof membrane, gauge 1000 laid over hard core (drainage channel)</t>
  </si>
  <si>
    <t>Blinding: Provide all materials, mix and place concrete grade C15/20 (1:3:6) for blinding of ground slab, mixing to be done using concrete mixer approved to be suitable for the type of works by the Project Manager</t>
  </si>
  <si>
    <t>Ground slab: Provide all materials, mix, place and compact concrete grade C25/20 (1:1.5:3) for ground slab, mixing to be done using concrete mixer approved to be suitable for the type of works by the Project Manager</t>
  </si>
  <si>
    <t>Blinding: Provide all materials, mix and place concrete grade C15/20 (1:3:6) for blinding of strip footing, mixing to be done using concrete mixer approved to be suitable for the type of works by the engineer</t>
  </si>
  <si>
    <t>Ground slab: Provide all materials, mix, place and compact concrete grade C25/20 (1:1.5:3) for ground slab 150mm high, mixing to be done using concrete mixer approved to be suitable for the type of works by the engineer</t>
  </si>
  <si>
    <t>Plinth for the incinerator unit: Provide all materials, mix, place and compacte concrete grade C25/20 (1:1.5:3) for plinth 150mm high, mixing to be done using concrete mixer approved to be suitable for the type of work by the project manager.</t>
  </si>
  <si>
    <t>Deck: Provide all materials, mix, place and compacte concrete grade C25/20 (1:1.5:3) for plinth 75mm high, mixing to be done using concrete mixer approved to be suitable for the type of work by the project manager.</t>
  </si>
  <si>
    <t>Ground slab: Provide all materials, mix, place and compact concrete grade C25/20 (1:1.5:3) for ground slab, mixing to be done using concrete mixer approved to be suitable for the type of works by the engineer</t>
  </si>
  <si>
    <t>Provide all materials as specified below and fix at sites; fabric reinforcement no. A142 mesh size 150 x 150mm weighing 2.22 kg per m2, including bends, tying wire and spacer blocks; fabric reinforcement with minimum 150mm wide side and end laps, laid in bed</t>
  </si>
  <si>
    <t>Provide all materials as specified below and fix at sites; fabric reinforcement no. A142 mesh size 150 x 150mm weighing 2.22 kg per m2 , including Bends, tying Wire and spacer blocks; fabric reinforcement with minimum 150mm wide side and end laps, laid in bed</t>
  </si>
  <si>
    <t>Provide all materials as specified below and fix at sites for ground slab, plinth and decks; fabric reinforcement no. A142 mesh size 150 x 150mm weighing 2.22 kg per m2 , including Bends, tying Wire and spacer blocks; fabric reinforcement with minimum 150mm wide side and end laps, laid in bed</t>
  </si>
  <si>
    <t>Extra over for Items 1.21-1.22:  for excavation in rock Class 'A', blasting not permitted (Provisional), to be approved and directed by the Project Manager</t>
  </si>
  <si>
    <t>Extra over for Items 2.21 - 2.22:  for excavation in rock Class 'A', blasting not permitted (Provisional), to be approved and directed by the Project Manager</t>
  </si>
  <si>
    <t xml:space="preserve">length foundation RBBT=8.4 ; width foundation RBBT=8.1 </t>
  </si>
  <si>
    <t>Total no of columns = 18</t>
  </si>
  <si>
    <t>Screed the ground slab with water proof cement mortar 1:3 with a slope of 1% towards the outlet for the Balancing tank</t>
  </si>
  <si>
    <t>Suspended slab Balancing Tank: Provide all materials, mix, place and compact concrete grade C25/20 (1:1.5:3) for balancing tank suspended slab, depth of 150mm. Allow for 3 openings of 600x400mm for the manholes</t>
  </si>
  <si>
    <t>Volume= (LxWxD) - manhole openings</t>
  </si>
  <si>
    <t>Volume= LxWxD - manhole &amp; screen openings</t>
  </si>
  <si>
    <t>Supply and installation of a 1000L water tank on a steel tower</t>
  </si>
  <si>
    <t xml:space="preserve">50mm thick lipped flush door 900x2100mm high made of 100x50mm seasoned timber including hinges, ironmongery, frame and galvanised metal sheet (1m high) at the bottom of the door </t>
  </si>
  <si>
    <t>Allow for test running of the facility by filling all the relevant modules (balancing tank, settler and ABR) with water (200 m²) and leaving it to stay for at least 2 days to check the water tightness. Water should then be passed through the entire system to check flow in a typical treatment process from the balancing tank to the outlet of the vertical flow constructed wetland.</t>
  </si>
  <si>
    <t>Outlet pipe connecting the siphon chamber outlet to the VFCW inlet at a depth n.e. 1.5m</t>
  </si>
  <si>
    <t>Suspended roof slab for Settler, ABR Tank and siphon chamber: Provide all materials, mix, place and compact concrete grade C20 (1:1.5:3)</t>
  </si>
  <si>
    <t>Provide and install reinforced fibre covers of 600x450mm including frame and fitted with a handle for the balancing tank and the outlet chamber</t>
  </si>
  <si>
    <t xml:space="preserve">100 mm dia. uPVC pipe 500mm long with a bend bringing the overblow bypass from the balancing tank to the outlet chamber. All fittings should be protected with a coat of water paint and two coats of emulsion paint </t>
  </si>
  <si>
    <t xml:space="preserve">GMS Coarse Screen, size 500x640mm, fabricated using GMS bars, 5x50 mm at spacing 30 mm (centre to centre) welded to frame hinged into concrete walls, all as per details on Drg. Apply 1 coat of primer and 2 coats of approved gloss paint </t>
  </si>
  <si>
    <t xml:space="preserve">GMS Fine Screen, size 500x640mm, fabricated using GMS bars, 5x50 mm at spacing 15 mm (centre to centre) welded to frame hinged into concrete walls, all as per details on Drg. Apply 1 coat of primer and 2 coats of approved gloss paint </t>
  </si>
  <si>
    <t>Area of column sides=(0.2*1.15*4*18)=16.56</t>
  </si>
  <si>
    <t>Provide approved hard core and compact in one layer of 300mm and blinded with sand or gravel</t>
  </si>
  <si>
    <t>Provide approved granular fill and compact in one layer as per details in drg and blinded with sand or gravel</t>
  </si>
  <si>
    <t>Only for ground slab (thickness 200mm)</t>
  </si>
  <si>
    <t xml:space="preserve">Suspended slab Receiving Bay: Provide all materials, mix, place and compact concrete grade C25/20 (1:1.5:3) for the two receiving bay suspended slabs, depth of 150mm. </t>
  </si>
  <si>
    <t xml:space="preserve">Provide all material and fabricate reinforced precast concrete covers of 400x700x40mm with a 40x40mm angle frame connected with the welded mesh as per drawings. Allow for two metal handles per cover with a minimum of 100mm length and 40mm height. Apply 1 coat of primer and 2 coats of approved gloss paint to all metal parts. Allow for recess of 30x30mm on either side of the distibution trenches wall as per drawings. </t>
  </si>
  <si>
    <t>Sealing of each opening (bitumen, welding or brackets) for  the drain pipe to pass through the PE liner to reach the drain channel</t>
  </si>
  <si>
    <t>Supply and plant common reeds (PHRAGMITES AUSTRALIS) or other local aquatic plant: 4 shoots per square metre. Allow for 3 months of nursing before planting and once planted maintainance until commissioning</t>
  </si>
  <si>
    <t>Use excavated material to form embankment 250mm high with a top base of 600mm width and a 1:2 slope on either side. Allow for compaction to 95% MDD using approved material to the satisfaction of the project manager</t>
  </si>
  <si>
    <t>Blinding: Provide all materials, mix and place concrete grade C15/20 (1:3:6) for blinding of ground slab (drainage channel), mixing to be done using concrete mixer approved to be suitable for the type of works by the Project Manager</t>
  </si>
  <si>
    <t>Ground slab (drainage channel): Provide all materials, mix, place and compact concrete grade C25/20 (1:1.5:3) for ground slab, mixing to be done using concrete mixer approved to be suitable for the type of works by the project manager</t>
  </si>
  <si>
    <t>Screed the ground slab (drainage channel) with water proof cement mortar 1:3. Allow for carrying out benching with a slope of 1:4 towards the central channel as per drawings.</t>
  </si>
  <si>
    <t>100mm dia. class 41 uPVC outlet pipe (from the drain channel to the discharge point)</t>
  </si>
  <si>
    <t>Transition and distribution layer: supply and place approved 2 x 100mm thick layer of approved medium gravel size 10-14mm as shown on the drawings.</t>
  </si>
  <si>
    <t>Maximum depth n.e. 0.9 m after stripping of top soil</t>
  </si>
  <si>
    <t xml:space="preserve">foundation width=0.6 and height=0.8+0.2+0.2m </t>
  </si>
  <si>
    <t xml:space="preserve">foundation width=0.6 and height=0.7+0.2m </t>
  </si>
  <si>
    <t>Maximum depth n.e. 1.2 m after stripping of top soil</t>
  </si>
  <si>
    <t>excavation for the 200mm layer of harcore below the ground slab</t>
  </si>
  <si>
    <t>Detached inspection chamber (SDB + VFCW + Site): internal dimension 600 x 450 mm up to a depth n.e. 1000 mm including base slab, haunching, masonry walling 150mm thick, plastering internal and external, proper finishing and a cover slab 150mm thick with a rectangular 600mm x 450mm reinforced fibre access cover including a frame and fitted with a handle</t>
  </si>
  <si>
    <t>RECEIVING BAY / BALANCING TANK / SLUDGE DRYING BED</t>
  </si>
  <si>
    <t xml:space="preserve">BT: 3 longitudinal + 2 transversal beams </t>
  </si>
  <si>
    <t xml:space="preserve">length foundation SDB=6.9 ; width foundation SDB=7.4 </t>
  </si>
  <si>
    <t>hardcore only required for the RBBT and the SDB channel</t>
  </si>
  <si>
    <t>only applies for RBBT and SDB channel</t>
  </si>
  <si>
    <t>ground slab of the RBBT + slopped slab of the RB + SDB channel</t>
  </si>
  <si>
    <t>100 mm dia. uPVC pipe (connecting the balancing tank outlet chamber to the sludge drying bed inspection chamber)</t>
  </si>
  <si>
    <t>100mm dia. class 41 uPVC pipe (underdrain pipes of the sludge drying bed)</t>
  </si>
  <si>
    <t>100mm dia. Gate valve including stub, flange, bolts and nuts (controlling the flow from the outlet chamber)</t>
  </si>
  <si>
    <t>100 mm dia. uPVC pipe (connected to the gate valve at the balancing tank outlet)</t>
  </si>
  <si>
    <t>height of the coverage on the wall is up until the top layer (for support) excluding sludge=0.75m</t>
  </si>
  <si>
    <t>Drainage layer: supply and place 300mm thick layer of approved coarse gravel size 20-32mm as shown on the drawings.</t>
  </si>
  <si>
    <t>Filtration layer: supply and place (as per drawings) 350mm thick layer of approved sieved and washed sand with the following characteristics: 
- dia 0.2 - 0.7 mm
- free of silt
- normal particle size distribution</t>
  </si>
  <si>
    <t xml:space="preserve"> maximal depth of the layer=0.30 ; 75% of the volume to consider the 2 slopes</t>
  </si>
  <si>
    <t>Assumption: 10% of excavated material is class C</t>
  </si>
  <si>
    <t>Total no of columns = 21</t>
  </si>
  <si>
    <t>below the slab + footing of the siphon chamber</t>
  </si>
  <si>
    <t>100mm dia. class 41 uPVC pipe (inlet and AF outlet down pipes)</t>
  </si>
  <si>
    <t>100mm dia. class 41 uPVC pipe (ABR and AF compartments down pipes )</t>
  </si>
  <si>
    <t>100x100mm dia. uPVC class 41 Equal tee (for inlet, ABR, AF and outlet down pipes)</t>
  </si>
  <si>
    <t>Anaerobic filter material: supply and place 1200mm thick layer of approved aggregates size 30-42mm as shown on the drawings</t>
  </si>
  <si>
    <t>Precast concrete slab</t>
  </si>
  <si>
    <t>Supporting edge</t>
  </si>
  <si>
    <t>60mm dia. class 41 uPVC pipe (intermediate distribution pipe)</t>
  </si>
  <si>
    <t>100mm dia. class 41 uPVC pipe (distribution pipe)</t>
  </si>
  <si>
    <t xml:space="preserve">40 mm dia. dia. class 41 uPVC pipe (feeding pipes) </t>
  </si>
  <si>
    <t>40mm dia. PVC end cap</t>
  </si>
  <si>
    <t>Filtration layer: Supply and place (as per drawings) 450mm thick layer of approved sieved and washed sand with the following characteristics: 
- dia 0.2 - 0.7 mm
- free of silt
- normal particle size distribution</t>
  </si>
  <si>
    <t>ANAEROBIC REACTOR</t>
  </si>
  <si>
    <t>Supply and place approved 150mm thick crusher-run gravel shown on the drawings.</t>
  </si>
  <si>
    <t xml:space="preserve">150mm dia. PVC Ball Cock valve </t>
  </si>
  <si>
    <t>uPVC Flexible Jointed Pipes Nominal  Diameter 150mm</t>
  </si>
  <si>
    <t>150mm dia. Class 41 uPVC (for the siphon drainage chamber outlet to the inlet chamber of the VFCW)</t>
  </si>
  <si>
    <t>column footing at the end of the siphon chamber</t>
  </si>
  <si>
    <t>100mm dia. class 41 uPVC pipe (from the sludge drying bed inspection chamber to the next module)</t>
  </si>
  <si>
    <t>Provide all materials and perforate the pipes supplied under item 5.14 (underdrain pipes). Perforation shall be holes of 10mm diameter at 100mm center to center spacing. The holes are placed on two parallele lines located at a 30° angle from the central line as per drawings</t>
  </si>
  <si>
    <t>Outlet pipe connecting the balancing tank outlet to the sludge drying bed inspection chamber to the next module (anaerobic reactor) at a depth n.e. 1.5m</t>
  </si>
  <si>
    <t>ALLOW 10% CONTINGENCIES</t>
  </si>
  <si>
    <t>Bulk excavations and top soil removal for the whole area of Receiving Bay and Balancing Tank (depth n.e. 150mm). Spread top soil stacked on site for reuse. Level and prepare for grassing and landscaping.</t>
  </si>
  <si>
    <t>Bulk excavations and top soil removal for the whole area of ABR (depth n.e. 150mm). Spread top soil stacked on site for reuse. Level and prepare for grassing and landscaping.</t>
  </si>
  <si>
    <t>Bulk excavations and top soil removal for the whole area of VFCW (depth n.e. 150mm). Spread top soil stacked on site for reuse. Level and prepare for grassing and landscaping.</t>
  </si>
  <si>
    <t>Bulk excavations and top soil removal for the whole area of CA (depth n.e. 150mm). Spread top soil stacked on site for reuse. Level and prepare for grassing and landscaping.</t>
  </si>
  <si>
    <t>Bulk excavations and top soil removal for the whole area of operator store bed (depth n.e. 150mm)</t>
  </si>
  <si>
    <t>Maximum depth n.e. 1m after stripping of top soil</t>
  </si>
  <si>
    <t xml:space="preserve">Provide and install a rectangular MS sluice gate size 400x400mm with an extended handle on a 25mm MS sliding channel. Apply 1 coat of primer and 2 coats of approved gloss paint </t>
  </si>
  <si>
    <t>100mm dia. 2000mm long uPVC Pipe for vent pipe, with three coats of gloss paint, PVC wire gauze, vent cap, all fittings (two bend and one tee) and a 1000mm high protective concrete stub as per details in Drg</t>
  </si>
  <si>
    <t>Supply and install the siphon system fabricated by Nairobi IronMongers Ltd or other approved supliers, to details provided in the drg</t>
  </si>
  <si>
    <t xml:space="preserve">Supply material, fabricate and place precast concrete slab class 20/20 finished fair 875mm x 500mm x 100mm reinforced by Y10 bars both ways, perforated to details shown on the drawings. </t>
  </si>
  <si>
    <t>200mm PCC supporting wall for the anaerobic filter media</t>
  </si>
  <si>
    <t>150x150mm equal tee to connect the inlet pipe to the ballcock valves</t>
  </si>
  <si>
    <t>150x150mm PVC equal tee</t>
  </si>
  <si>
    <t>100x40mm PVC reducing tee</t>
  </si>
  <si>
    <t>150mm PVC elbow</t>
  </si>
  <si>
    <t>150x100mm PVC reducer</t>
  </si>
  <si>
    <t>100mm PVC end caps to place at each end of the 2 last reducing tee 100x40mm</t>
  </si>
  <si>
    <t>OPERATOR STORE</t>
  </si>
  <si>
    <t>TOTAL [KSh]</t>
  </si>
  <si>
    <t>GRAND TOTAL INVESTMENT COSTS [KSh]</t>
  </si>
  <si>
    <t xml:space="preserve">150mm dia. PVC end cap to connect to the socket end of the bypass pipe in the drainage channel. </t>
  </si>
  <si>
    <t>Provide all materials and perforate the pipes supplied under item 4.14. (drain pipes).  Perforation shall be holes of 10mm diameter at 100mm centre to centre spacing. The holes are placed on two parallele lines located at a 30° angle from the central line as per drawings</t>
  </si>
  <si>
    <t>Provide all materials and perforate the pipes supplied under item 4.13. (feeding pipes) Perforation shall be holes of 10mm diameter at 300mm centre to centre spacing. The holes are placed on two parallele lines located at a 30° angle from the central line as per drawings</t>
  </si>
  <si>
    <t>Base slab of the siphon chamber: provide all materials, mix, place and compact concrete grade C25/20 (1:1.5:3)</t>
  </si>
  <si>
    <t>ditto, but depth from 3.0m up to 4m</t>
  </si>
  <si>
    <t>BILL 2 - RECEIVING BAY / BALANCING TANK / SLUDGE DRYING BED</t>
  </si>
  <si>
    <t xml:space="preserve">BILL 3 - ANAEROBIC REACTOR </t>
  </si>
  <si>
    <t>BILL 4 - VERTICAL FLOW CONSTRUCTED WETLANDS</t>
  </si>
  <si>
    <t>BILL 5 - SOLID WASTE INCINERATOR</t>
  </si>
  <si>
    <t>BILL 6 - OPERATOR STORE</t>
  </si>
  <si>
    <t>BILL 7 - SITE AND AUXILIARY WORKS</t>
  </si>
  <si>
    <t>PRELIMINARY AND GENERAL</t>
  </si>
  <si>
    <t>SPECIAL REQUIREMENT</t>
  </si>
  <si>
    <t>Allow a P.C. Sum of KShs. 300,000 for provision of supervision costs by an approved Resident Inspector of Works qualified with Diploma in Civil Engineering/Building and Construction or approved equivalent from a reputable institution of learning and with a minimum of 2 years of experience in related field.</t>
  </si>
  <si>
    <t>%</t>
  </si>
  <si>
    <t>Add 15% for profit, administration, attendance upon, overheads, etc. for Item 1.10 above (% to be as per Appendix to Form of Tender)</t>
  </si>
  <si>
    <t>BILL 1 - PRELIMINARY AND GENERAL</t>
  </si>
  <si>
    <t>Allow for supply of materials and construction of a temporary Site Office (to be used by the Contractor) and Store (to be used by the Superving Staff), total area not exceeding 30m2. The structure to revert back to the Contractor upon completion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</si>
</sst>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_(* #,##0.00_);_(* \(#,##0.00\);_(* &quot;-&quot;??_);_(@_)"/>
    <numFmt numFmtId="166" formatCode="_-* #,##0.00\ _€_-;\-* #,##0.00\ _€_-;_-* &quot;-&quot;??\ _€_-;_-@_-"/>
    <numFmt numFmtId="167" formatCode="0.0"/>
    <numFmt numFmtId="168" formatCode="#,##0.0"/>
    <numFmt numFmtId="169" formatCode="0.000"/>
    <numFmt numFmtId="170" formatCode="_-* #,##0\ _€_-;\-* #,##0\ _€_-;_-* &quot;-&quot;??\ _€_-;_-@_-"/>
  </numFmts>
  <fonts count="31">
    <font>
      <sz val="11"/>
      <color theme="1"/>
      <name val="Calibri"/>
      <family val="2"/>
      <scheme val="minor"/>
    </font>
    <font>
      <sz val="11"/>
      <color theme="1"/>
      <name val="Calibri"/>
      <family val="2"/>
      <scheme val="minor"/>
    </font>
    <font>
      <sz val="12"/>
      <name val="Times New Roman"/>
      <family val="1"/>
    </font>
    <font>
      <sz val="11"/>
      <color indexed="8"/>
      <name val="Calibri"/>
      <family val="2"/>
    </font>
    <font>
      <sz val="10"/>
      <name val="Arial"/>
      <family val="2"/>
    </font>
    <font>
      <b/>
      <sz val="10"/>
      <color theme="1"/>
      <name val="Arial"/>
      <family val="2"/>
    </font>
    <font>
      <sz val="10"/>
      <color theme="1"/>
      <name val="Arial"/>
      <family val="2"/>
    </font>
    <font>
      <b/>
      <sz val="10"/>
      <name val="Arial"/>
      <family val="2"/>
    </font>
    <font>
      <sz val="12"/>
      <name val="宋体"/>
      <charset val="134"/>
    </font>
    <font>
      <sz val="11"/>
      <color theme="1"/>
      <name val="Georgia"/>
      <family val="1"/>
    </font>
    <font>
      <b/>
      <u/>
      <sz val="10"/>
      <name val="Arial"/>
      <family val="2"/>
    </font>
    <font>
      <vertAlign val="superscript"/>
      <sz val="10"/>
      <color theme="1"/>
      <name val="Arial"/>
      <family val="2"/>
    </font>
    <font>
      <b/>
      <u/>
      <sz val="10"/>
      <color theme="1"/>
      <name val="Arial"/>
      <family val="2"/>
    </font>
    <font>
      <b/>
      <sz val="10"/>
      <color rgb="FFFF0000"/>
      <name val="Arial"/>
      <family val="2"/>
    </font>
    <font>
      <b/>
      <u val="singleAccounting"/>
      <sz val="10"/>
      <name val="Arial"/>
      <family val="2"/>
    </font>
    <font>
      <b/>
      <sz val="12"/>
      <name val="Arial"/>
      <family val="2"/>
    </font>
    <font>
      <sz val="11"/>
      <color theme="1"/>
      <name val="Arial"/>
      <family val="2"/>
    </font>
    <font>
      <sz val="10"/>
      <color indexed="8"/>
      <name val="Arial"/>
      <family val="2"/>
    </font>
    <font>
      <b/>
      <sz val="12"/>
      <color indexed="8"/>
      <name val="Arial"/>
      <family val="2"/>
    </font>
    <font>
      <sz val="12"/>
      <color indexed="8"/>
      <name val="Arial"/>
      <family val="2"/>
    </font>
    <font>
      <sz val="12"/>
      <name val="Arial"/>
      <family val="2"/>
    </font>
    <font>
      <sz val="11"/>
      <name val="Arial"/>
      <family val="2"/>
    </font>
    <font>
      <sz val="10"/>
      <name val="Arial"/>
      <family val="2"/>
    </font>
    <font>
      <sz val="10"/>
      <name val="Times New Roman"/>
      <family val="1"/>
    </font>
    <font>
      <vertAlign val="superscript"/>
      <sz val="10"/>
      <name val="Times New Roman"/>
      <family val="1"/>
    </font>
    <font>
      <sz val="10"/>
      <color theme="1"/>
      <name val="Calibri"/>
      <family val="2"/>
    </font>
    <font>
      <sz val="10"/>
      <name val="Arial"/>
      <family val="2"/>
    </font>
    <font>
      <b/>
      <sz val="11"/>
      <color theme="1"/>
      <name val="Arial"/>
      <family val="2"/>
    </font>
    <font>
      <sz val="10"/>
      <color rgb="FFFF000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E285"/>
        <bgColor indexed="64"/>
      </patternFill>
    </fill>
  </fills>
  <borders count="39">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style="thin">
        <color auto="1"/>
      </right>
      <top style="hair">
        <color indexed="64"/>
      </top>
      <bottom style="hair">
        <color indexed="64"/>
      </bottom>
      <diagonal/>
    </border>
    <border>
      <left style="thin">
        <color auto="1"/>
      </left>
      <right/>
      <top style="medium">
        <color indexed="64"/>
      </top>
      <bottom style="thin">
        <color auto="1"/>
      </bottom>
      <diagonal/>
    </border>
    <border>
      <left style="thin">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auto="1"/>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style="thin">
        <color indexed="64"/>
      </right>
      <top style="thin">
        <color indexed="64"/>
      </top>
      <bottom style="double">
        <color indexed="64"/>
      </bottom>
      <diagonal/>
    </border>
  </borders>
  <cellStyleXfs count="27">
    <xf numFmtId="0" fontId="0" fillId="0" borderId="0"/>
    <xf numFmtId="166" fontId="1" fillId="0" borderId="0" applyFont="0" applyFill="0" applyBorder="0" applyAlignment="0" applyProtection="0"/>
    <xf numFmtId="0" fontId="2" fillId="0" borderId="0"/>
    <xf numFmtId="0" fontId="2" fillId="0" borderId="0"/>
    <xf numFmtId="0" fontId="1" fillId="0" borderId="0"/>
    <xf numFmtId="165" fontId="3"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0" fontId="4" fillId="0" borderId="0"/>
    <xf numFmtId="0" fontId="9" fillId="0" borderId="0"/>
    <xf numFmtId="0" fontId="4" fillId="0" borderId="0"/>
    <xf numFmtId="0" fontId="9" fillId="0" borderId="0"/>
    <xf numFmtId="0" fontId="8" fillId="0" borderId="0"/>
    <xf numFmtId="9" fontId="3" fillId="0" borderId="0" applyFont="0" applyFill="0" applyBorder="0" applyAlignment="0" applyProtection="0"/>
    <xf numFmtId="9" fontId="4" fillId="0" borderId="0" applyFont="0" applyFill="0" applyBorder="0" applyAlignment="0" applyProtection="0"/>
    <xf numFmtId="0" fontId="22" fillId="0" borderId="0"/>
    <xf numFmtId="43" fontId="22" fillId="0" borderId="0" applyFont="0" applyFill="0" applyBorder="0" applyAlignment="0" applyProtection="0"/>
    <xf numFmtId="0" fontId="4" fillId="0" borderId="0"/>
    <xf numFmtId="0" fontId="4" fillId="0" borderId="0"/>
    <xf numFmtId="0" fontId="23" fillId="0" borderId="0"/>
    <xf numFmtId="0" fontId="4" fillId="0" borderId="0"/>
    <xf numFmtId="165" fontId="23" fillId="0" borderId="0" applyFont="0" applyFill="0" applyBorder="0" applyAlignment="0" applyProtection="0"/>
    <xf numFmtId="0" fontId="26" fillId="0" borderId="0"/>
    <xf numFmtId="0" fontId="2" fillId="0" borderId="0"/>
  </cellStyleXfs>
  <cellXfs count="464">
    <xf numFmtId="0" fontId="0" fillId="0" borderId="0" xfId="0"/>
    <xf numFmtId="0" fontId="0" fillId="0" borderId="0" xfId="0"/>
    <xf numFmtId="165" fontId="10" fillId="2" borderId="4" xfId="8" applyFont="1" applyFill="1" applyBorder="1" applyAlignment="1">
      <alignment horizontal="left" vertical="top" wrapText="1"/>
    </xf>
    <xf numFmtId="165" fontId="4" fillId="2" borderId="4" xfId="8" applyFont="1" applyFill="1" applyBorder="1" applyAlignment="1">
      <alignment horizontal="left" vertical="top" wrapText="1"/>
    </xf>
    <xf numFmtId="166" fontId="4" fillId="0" borderId="4" xfId="1" applyFont="1" applyBorder="1" applyAlignment="1">
      <alignment horizontal="center" vertical="center" wrapText="1"/>
    </xf>
    <xf numFmtId="166" fontId="4" fillId="0" borderId="5" xfId="1" applyFont="1" applyBorder="1" applyAlignment="1">
      <alignment horizontal="center" vertical="center" wrapText="1"/>
    </xf>
    <xf numFmtId="166" fontId="4" fillId="0" borderId="9" xfId="1" applyFont="1" applyBorder="1" applyAlignment="1">
      <alignment horizontal="center" vertical="center" wrapText="1"/>
    </xf>
    <xf numFmtId="0" fontId="16" fillId="0" borderId="0" xfId="0" applyFont="1"/>
    <xf numFmtId="0" fontId="4" fillId="0" borderId="4" xfId="0" applyFont="1" applyFill="1" applyBorder="1" applyAlignment="1">
      <alignment horizontal="center" vertical="center" wrapText="1"/>
    </xf>
    <xf numFmtId="0" fontId="16" fillId="0" borderId="0" xfId="0" applyFont="1" applyAlignment="1">
      <alignment vertical="center"/>
    </xf>
    <xf numFmtId="166" fontId="4" fillId="0" borderId="4" xfId="1" applyFont="1" applyBorder="1" applyAlignment="1">
      <alignment horizontal="center" vertical="center"/>
    </xf>
    <xf numFmtId="0" fontId="4" fillId="0" borderId="4" xfId="2" applyFont="1" applyBorder="1" applyAlignment="1">
      <alignment horizontal="center" vertical="center" wrapText="1"/>
    </xf>
    <xf numFmtId="0" fontId="20" fillId="0" borderId="12" xfId="0" applyFont="1" applyFill="1" applyBorder="1" applyAlignment="1">
      <alignment horizontal="left"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left" vertical="top" wrapText="1"/>
    </xf>
    <xf numFmtId="0" fontId="0" fillId="0" borderId="0" xfId="0" applyBorder="1"/>
    <xf numFmtId="165" fontId="14" fillId="2" borderId="4" xfId="8" applyFont="1" applyFill="1" applyBorder="1" applyAlignment="1">
      <alignment horizontal="left" vertical="top" wrapText="1"/>
    </xf>
    <xf numFmtId="2" fontId="16" fillId="0" borderId="0" xfId="0" applyNumberFormat="1" applyFont="1" applyAlignment="1">
      <alignment horizontal="center" vertical="center"/>
    </xf>
    <xf numFmtId="0" fontId="4" fillId="0" borderId="4" xfId="0" applyFont="1" applyBorder="1" applyAlignment="1">
      <alignment horizontal="center" wrapText="1"/>
    </xf>
    <xf numFmtId="3" fontId="4" fillId="0" borderId="4" xfId="1" applyNumberFormat="1" applyFont="1" applyBorder="1" applyAlignment="1">
      <alignment horizontal="center" vertical="center" wrapText="1"/>
    </xf>
    <xf numFmtId="3" fontId="4" fillId="0" borderId="4" xfId="1" applyNumberFormat="1" applyFont="1" applyFill="1" applyBorder="1" applyAlignment="1" applyProtection="1">
      <alignment horizontal="center" vertical="center" wrapText="1"/>
    </xf>
    <xf numFmtId="0" fontId="6" fillId="0" borderId="5" xfId="0" applyFont="1" applyBorder="1" applyAlignment="1">
      <alignment horizontal="center" vertical="center"/>
    </xf>
    <xf numFmtId="0" fontId="4" fillId="0" borderId="5" xfId="0" applyFont="1" applyFill="1" applyBorder="1" applyAlignment="1">
      <alignment horizontal="center" vertical="center" wrapText="1"/>
    </xf>
    <xf numFmtId="3" fontId="0" fillId="0" borderId="0" xfId="0" applyNumberFormat="1"/>
    <xf numFmtId="3" fontId="0" fillId="0" borderId="0" xfId="0" applyNumberFormat="1" applyAlignment="1">
      <alignment horizontal="right"/>
    </xf>
    <xf numFmtId="0" fontId="20" fillId="0" borderId="6" xfId="0"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16" xfId="0" quotePrefix="1" applyFont="1" applyFill="1" applyBorder="1" applyAlignment="1">
      <alignment horizontal="left" vertical="center" wrapText="1"/>
    </xf>
    <xf numFmtId="0" fontId="20" fillId="0" borderId="6" xfId="0" quotePrefix="1" applyFont="1" applyFill="1" applyBorder="1" applyAlignment="1">
      <alignment horizontal="center" vertical="center"/>
    </xf>
    <xf numFmtId="0" fontId="20" fillId="0" borderId="12" xfId="0" quotePrefix="1" applyFont="1" applyFill="1" applyBorder="1" applyAlignment="1">
      <alignment horizontal="left" vertical="center" wrapText="1"/>
    </xf>
    <xf numFmtId="0" fontId="15" fillId="0" borderId="7" xfId="0" applyFont="1" applyFill="1" applyBorder="1" applyAlignment="1">
      <alignment horizontal="center" vertical="center"/>
    </xf>
    <xf numFmtId="0" fontId="20" fillId="0" borderId="5" xfId="0" applyFont="1" applyFill="1" applyBorder="1" applyAlignment="1">
      <alignment horizontal="left" vertical="center" wrapText="1"/>
    </xf>
    <xf numFmtId="0" fontId="7" fillId="0" borderId="0" xfId="4" applyFont="1" applyFill="1" applyBorder="1" applyAlignment="1">
      <alignment vertical="top" wrapText="1"/>
    </xf>
    <xf numFmtId="0" fontId="17" fillId="0" borderId="0" xfId="6" applyFont="1" applyFill="1" applyBorder="1" applyAlignment="1" applyProtection="1">
      <alignment horizontal="center" vertical="center" wrapText="1"/>
    </xf>
    <xf numFmtId="0" fontId="17" fillId="0" borderId="0" xfId="6" applyFont="1" applyFill="1" applyBorder="1" applyAlignment="1" applyProtection="1">
      <alignment horizontal="left"/>
    </xf>
    <xf numFmtId="2" fontId="7" fillId="0" borderId="0" xfId="6" applyNumberFormat="1" applyFont="1" applyFill="1" applyBorder="1" applyAlignment="1" applyProtection="1">
      <alignment horizontal="center" vertical="top" wrapText="1"/>
    </xf>
    <xf numFmtId="166" fontId="4" fillId="0" borderId="0" xfId="1" applyFont="1" applyFill="1" applyBorder="1" applyAlignment="1">
      <alignment vertical="center" wrapText="1"/>
    </xf>
    <xf numFmtId="0" fontId="4" fillId="0" borderId="0" xfId="3" applyFont="1" applyFill="1" applyBorder="1" applyAlignment="1">
      <alignment horizontal="justify" vertical="top" wrapText="1"/>
    </xf>
    <xf numFmtId="0" fontId="7" fillId="0" borderId="0" xfId="6" applyFont="1" applyFill="1" applyBorder="1" applyAlignment="1" applyProtection="1">
      <alignment vertical="top"/>
    </xf>
    <xf numFmtId="0" fontId="17" fillId="0" borderId="0" xfId="6" applyFont="1" applyFill="1" applyBorder="1" applyAlignment="1" applyProtection="1">
      <alignment horizontal="left" wrapText="1"/>
    </xf>
    <xf numFmtId="0" fontId="10" fillId="0" borderId="0" xfId="3" applyFont="1" applyFill="1" applyBorder="1" applyAlignment="1">
      <alignment wrapText="1"/>
    </xf>
    <xf numFmtId="0" fontId="16" fillId="0" borderId="0" xfId="0" applyFont="1" applyFill="1" applyBorder="1"/>
    <xf numFmtId="166" fontId="4" fillId="0" borderId="0" xfId="1" applyFont="1" applyFill="1" applyBorder="1" applyAlignment="1">
      <alignment horizontal="center" vertical="center" wrapText="1"/>
    </xf>
    <xf numFmtId="0" fontId="4" fillId="0" borderId="0" xfId="3" applyFont="1" applyFill="1" applyBorder="1" applyAlignment="1">
      <alignment horizontal="center" vertical="center" wrapText="1"/>
    </xf>
    <xf numFmtId="0" fontId="16" fillId="0" borderId="0" xfId="0" applyFont="1" applyAlignment="1">
      <alignment horizontal="center" vertical="center"/>
    </xf>
    <xf numFmtId="0" fontId="4" fillId="0" borderId="17" xfId="0" applyFont="1" applyFill="1" applyBorder="1" applyAlignment="1">
      <alignment vertical="center" wrapText="1"/>
    </xf>
    <xf numFmtId="0" fontId="5" fillId="0" borderId="0" xfId="0" applyFont="1" applyAlignment="1">
      <alignment vertical="center" wrapText="1"/>
    </xf>
    <xf numFmtId="0" fontId="6" fillId="0" borderId="4" xfId="0" applyFont="1" applyBorder="1" applyAlignment="1">
      <alignment horizontal="left" vertical="center"/>
    </xf>
    <xf numFmtId="0" fontId="16" fillId="0" borderId="0" xfId="0" applyFont="1" applyAlignment="1">
      <alignment horizontal="left" vertical="center"/>
    </xf>
    <xf numFmtId="0" fontId="4" fillId="0" borderId="4" xfId="0" applyFont="1" applyBorder="1" applyAlignment="1">
      <alignment horizontal="center" vertical="center" wrapText="1"/>
    </xf>
    <xf numFmtId="0" fontId="23" fillId="0" borderId="17" xfId="22"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1" xfId="0" applyFont="1" applyBorder="1" applyAlignment="1">
      <alignment horizontal="center" vertical="center"/>
    </xf>
    <xf numFmtId="0" fontId="7" fillId="0" borderId="0" xfId="6" applyFont="1" applyFill="1" applyBorder="1" applyAlignment="1" applyProtection="1">
      <alignment horizontal="center" vertical="center" wrapText="1"/>
    </xf>
    <xf numFmtId="166" fontId="17" fillId="0" borderId="0" xfId="1" applyFont="1" applyFill="1" applyBorder="1" applyAlignment="1">
      <alignment horizontal="center" vertical="center" wrapText="1"/>
    </xf>
    <xf numFmtId="3" fontId="15" fillId="0" borderId="18" xfId="10" applyNumberFormat="1" applyFont="1" applyFill="1" applyBorder="1" applyAlignment="1">
      <alignment horizontal="center" vertical="center"/>
    </xf>
    <xf numFmtId="3" fontId="15" fillId="0" borderId="20" xfId="10" applyNumberFormat="1" applyFont="1" applyFill="1" applyBorder="1" applyAlignment="1">
      <alignment horizontal="center" vertical="center"/>
    </xf>
    <xf numFmtId="3" fontId="15" fillId="0" borderId="21" xfId="10" applyNumberFormat="1" applyFont="1" applyFill="1" applyBorder="1" applyAlignment="1">
      <alignment horizontal="center" vertical="center"/>
    </xf>
    <xf numFmtId="3" fontId="15" fillId="0" borderId="12" xfId="10" applyNumberFormat="1" applyFont="1" applyFill="1" applyBorder="1" applyAlignment="1">
      <alignment horizontal="center" vertical="center"/>
    </xf>
    <xf numFmtId="3" fontId="15" fillId="0" borderId="12" xfId="10" applyNumberFormat="1" applyFont="1" applyFill="1" applyBorder="1" applyAlignment="1">
      <alignment vertical="center"/>
    </xf>
    <xf numFmtId="3" fontId="15" fillId="0" borderId="22" xfId="10" applyNumberFormat="1" applyFont="1" applyFill="1" applyBorder="1" applyAlignment="1">
      <alignment horizontal="center" vertical="center"/>
    </xf>
    <xf numFmtId="3" fontId="15" fillId="0" borderId="13" xfId="10" applyNumberFormat="1" applyFont="1" applyFill="1" applyBorder="1" applyAlignment="1">
      <alignment horizontal="center" vertical="center"/>
    </xf>
    <xf numFmtId="0" fontId="6" fillId="3" borderId="5" xfId="0" applyFont="1" applyFill="1" applyBorder="1" applyAlignment="1">
      <alignment horizontal="center" vertical="center"/>
    </xf>
    <xf numFmtId="0" fontId="0" fillId="0" borderId="0" xfId="0" applyAlignment="1">
      <alignment wrapText="1"/>
    </xf>
    <xf numFmtId="0" fontId="20" fillId="0" borderId="6" xfId="0" applyFont="1" applyFill="1" applyBorder="1" applyAlignment="1">
      <alignment horizontal="center" vertical="center" wrapText="1"/>
    </xf>
    <xf numFmtId="3" fontId="15" fillId="0" borderId="12" xfId="10" applyNumberFormat="1" applyFont="1" applyFill="1" applyBorder="1" applyAlignment="1">
      <alignment horizontal="center" vertical="center" wrapText="1"/>
    </xf>
    <xf numFmtId="0" fontId="0" fillId="0" borderId="0" xfId="0" applyBorder="1" applyAlignment="1">
      <alignment wrapText="1"/>
    </xf>
    <xf numFmtId="0" fontId="7" fillId="0" borderId="32" xfId="2" applyFont="1" applyBorder="1" applyAlignment="1">
      <alignment horizontal="center" vertical="center" wrapText="1"/>
    </xf>
    <xf numFmtId="2" fontId="7" fillId="0" borderId="17" xfId="3" applyNumberFormat="1" applyFont="1" applyBorder="1" applyAlignment="1">
      <alignment horizontal="center" vertical="center" wrapText="1"/>
    </xf>
    <xf numFmtId="0" fontId="7" fillId="0" borderId="17" xfId="3" applyFont="1" applyBorder="1" applyAlignment="1">
      <alignment horizontal="center" vertical="center" wrapText="1"/>
    </xf>
    <xf numFmtId="2" fontId="7" fillId="2" borderId="17" xfId="8" applyNumberFormat="1" applyFont="1" applyFill="1" applyBorder="1" applyAlignment="1">
      <alignment horizontal="center" vertical="center" wrapText="1"/>
    </xf>
    <xf numFmtId="165" fontId="10" fillId="2" borderId="17" xfId="8" applyFont="1" applyFill="1" applyBorder="1" applyAlignment="1">
      <alignment horizontal="left" vertical="center" wrapText="1"/>
    </xf>
    <xf numFmtId="0" fontId="6" fillId="0" borderId="17" xfId="0" applyFont="1" applyBorder="1" applyAlignment="1">
      <alignment horizontal="center" vertical="center"/>
    </xf>
    <xf numFmtId="0" fontId="6" fillId="0" borderId="17" xfId="0" applyFont="1" applyBorder="1" applyAlignment="1">
      <alignment vertical="center"/>
    </xf>
    <xf numFmtId="166" fontId="4" fillId="0" borderId="17" xfId="1" applyFont="1" applyBorder="1" applyAlignment="1">
      <alignment horizontal="center" vertical="center"/>
    </xf>
    <xf numFmtId="166" fontId="4" fillId="0" borderId="17" xfId="1" applyFont="1" applyBorder="1" applyAlignment="1">
      <alignment horizontal="center" vertical="center" wrapText="1"/>
    </xf>
    <xf numFmtId="2" fontId="5" fillId="0" borderId="17" xfId="0" applyNumberFormat="1" applyFont="1" applyBorder="1" applyAlignment="1">
      <alignment horizontal="center" vertical="center"/>
    </xf>
    <xf numFmtId="0" fontId="5" fillId="0" borderId="17" xfId="0" applyFont="1" applyBorder="1" applyAlignment="1">
      <alignment horizontal="left" vertical="center" wrapText="1"/>
    </xf>
    <xf numFmtId="2" fontId="14" fillId="2" borderId="17" xfId="8" applyNumberFormat="1" applyFont="1" applyFill="1" applyBorder="1" applyAlignment="1">
      <alignment horizontal="center" vertical="center" wrapText="1"/>
    </xf>
    <xf numFmtId="2" fontId="6" fillId="0" borderId="17" xfId="0" applyNumberFormat="1" applyFont="1" applyBorder="1" applyAlignment="1">
      <alignment horizontal="center" vertical="center"/>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0" fontId="6" fillId="0" borderId="17" xfId="0" applyFont="1" applyBorder="1" applyAlignment="1">
      <alignment horizontal="left" wrapText="1"/>
    </xf>
    <xf numFmtId="0" fontId="4" fillId="0" borderId="17" xfId="0" applyFont="1" applyBorder="1" applyAlignment="1">
      <alignment horizontal="left" vertical="center" wrapText="1"/>
    </xf>
    <xf numFmtId="0" fontId="4" fillId="0" borderId="17" xfId="0" applyFont="1" applyBorder="1" applyAlignment="1">
      <alignment horizontal="center" vertical="center" wrapText="1"/>
    </xf>
    <xf numFmtId="2" fontId="7" fillId="0" borderId="17" xfId="0" applyNumberFormat="1" applyFont="1" applyBorder="1" applyAlignment="1">
      <alignment horizontal="center" vertical="center"/>
    </xf>
    <xf numFmtId="0" fontId="13" fillId="0" borderId="17" xfId="3" applyFont="1" applyBorder="1" applyAlignment="1">
      <alignment horizontal="center" vertical="center"/>
    </xf>
    <xf numFmtId="0" fontId="10" fillId="0" borderId="17" xfId="0" applyFont="1" applyBorder="1" applyAlignment="1">
      <alignment horizontal="left" vertical="center" wrapText="1"/>
    </xf>
    <xf numFmtId="2" fontId="16" fillId="0" borderId="27" xfId="0" applyNumberFormat="1" applyFont="1" applyBorder="1" applyAlignment="1">
      <alignment vertical="center"/>
    </xf>
    <xf numFmtId="2" fontId="16" fillId="0" borderId="28" xfId="0" applyNumberFormat="1" applyFont="1" applyBorder="1" applyAlignment="1">
      <alignment vertical="center"/>
    </xf>
    <xf numFmtId="0" fontId="0" fillId="0" borderId="0" xfId="0" applyAlignment="1">
      <alignment vertical="center"/>
    </xf>
    <xf numFmtId="2" fontId="7" fillId="0" borderId="32" xfId="2" applyNumberFormat="1" applyFont="1" applyBorder="1" applyAlignment="1">
      <alignment horizontal="center" vertical="center" wrapText="1"/>
    </xf>
    <xf numFmtId="0" fontId="7" fillId="0" borderId="32" xfId="2" applyFont="1" applyBorder="1" applyAlignment="1">
      <alignment horizontal="center" vertical="center"/>
    </xf>
    <xf numFmtId="0" fontId="23" fillId="0" borderId="17" xfId="0" applyFont="1" applyBorder="1" applyAlignment="1">
      <alignment horizontal="left" vertical="center" wrapText="1"/>
    </xf>
    <xf numFmtId="0" fontId="6" fillId="0" borderId="17" xfId="0" applyFont="1" applyBorder="1" applyAlignment="1">
      <alignment horizontal="left" vertical="center"/>
    </xf>
    <xf numFmtId="165" fontId="10" fillId="2" borderId="17" xfId="8" applyFont="1" applyFill="1" applyBorder="1" applyAlignment="1">
      <alignment horizontal="left" vertical="top" wrapText="1"/>
    </xf>
    <xf numFmtId="0" fontId="5" fillId="0" borderId="4" xfId="0" applyFont="1" applyBorder="1" applyAlignment="1">
      <alignment horizontal="left" vertical="top" wrapText="1"/>
    </xf>
    <xf numFmtId="0" fontId="4" fillId="0" borderId="4" xfId="0" applyFont="1" applyBorder="1" applyAlignment="1">
      <alignment horizontal="left" vertical="top" wrapText="1"/>
    </xf>
    <xf numFmtId="0" fontId="10" fillId="0" borderId="4" xfId="0" applyFont="1" applyBorder="1" applyAlignment="1">
      <alignment horizontal="left" vertical="top" wrapText="1"/>
    </xf>
    <xf numFmtId="0" fontId="23" fillId="0" borderId="17" xfId="22" applyFont="1" applyBorder="1" applyAlignment="1">
      <alignment horizontal="left" vertical="top" wrapText="1"/>
    </xf>
    <xf numFmtId="0" fontId="4" fillId="0" borderId="17" xfId="21"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left" vertical="top"/>
    </xf>
    <xf numFmtId="0" fontId="10" fillId="0" borderId="5" xfId="0" applyFont="1" applyBorder="1" applyAlignment="1">
      <alignment horizontal="left" vertical="top" wrapText="1"/>
    </xf>
    <xf numFmtId="0" fontId="4" fillId="0" borderId="4" xfId="3" applyFont="1" applyBorder="1" applyAlignment="1">
      <alignment horizontal="left" vertical="top" wrapText="1"/>
    </xf>
    <xf numFmtId="0" fontId="28" fillId="0" borderId="9" xfId="0" applyFont="1" applyBorder="1" applyAlignment="1">
      <alignment horizontal="left" vertical="top" wrapText="1"/>
    </xf>
    <xf numFmtId="13" fontId="4" fillId="0" borderId="5" xfId="1" applyNumberFormat="1" applyFont="1" applyBorder="1" applyAlignment="1">
      <alignment horizontal="left" vertical="top" wrapText="1"/>
    </xf>
    <xf numFmtId="0" fontId="5" fillId="0" borderId="0" xfId="0" applyFont="1" applyAlignment="1">
      <alignment horizontal="left" vertical="top" wrapText="1"/>
    </xf>
    <xf numFmtId="0" fontId="16" fillId="0" borderId="0" xfId="0" applyFont="1" applyAlignment="1">
      <alignment horizontal="left" vertical="top"/>
    </xf>
    <xf numFmtId="3" fontId="6" fillId="0" borderId="4" xfId="0" applyNumberFormat="1" applyFont="1" applyBorder="1" applyAlignment="1">
      <alignment horizontal="center" vertical="center" wrapText="1"/>
    </xf>
    <xf numFmtId="2" fontId="7" fillId="0" borderId="34" xfId="3" applyNumberFormat="1" applyFont="1" applyBorder="1" applyAlignment="1">
      <alignment horizontal="center" vertical="center" wrapText="1"/>
    </xf>
    <xf numFmtId="0" fontId="7" fillId="0" borderId="34" xfId="3" applyFont="1" applyBorder="1" applyAlignment="1">
      <alignment horizontal="left" vertical="top"/>
    </xf>
    <xf numFmtId="0" fontId="7" fillId="0" borderId="34" xfId="3" applyFont="1" applyBorder="1" applyAlignment="1">
      <alignment horizontal="center" vertical="center" wrapText="1"/>
    </xf>
    <xf numFmtId="2" fontId="7" fillId="2" borderId="4" xfId="8" applyNumberFormat="1" applyFont="1" applyFill="1" applyBorder="1" applyAlignment="1">
      <alignment horizontal="center" vertical="center" wrapText="1"/>
    </xf>
    <xf numFmtId="2" fontId="5" fillId="0" borderId="4" xfId="0" applyNumberFormat="1" applyFont="1" applyBorder="1" applyAlignment="1">
      <alignment horizontal="center" vertical="center"/>
    </xf>
    <xf numFmtId="2" fontId="14" fillId="2" borderId="4" xfId="8" applyNumberFormat="1" applyFont="1" applyFill="1" applyBorder="1" applyAlignment="1">
      <alignment horizontal="center" vertical="center" wrapText="1"/>
    </xf>
    <xf numFmtId="2" fontId="6" fillId="0" borderId="4" xfId="0" applyNumberFormat="1" applyFont="1" applyBorder="1" applyAlignment="1">
      <alignment horizontal="center" vertical="center"/>
    </xf>
    <xf numFmtId="2" fontId="6" fillId="0" borderId="35" xfId="0" applyNumberFormat="1" applyFont="1" applyBorder="1" applyAlignment="1">
      <alignment horizontal="center" vertical="center"/>
    </xf>
    <xf numFmtId="2" fontId="4" fillId="0" borderId="4" xfId="3" applyNumberFormat="1" applyFont="1" applyBorder="1" applyAlignment="1">
      <alignment horizontal="center" vertical="center" wrapText="1"/>
    </xf>
    <xf numFmtId="2" fontId="4" fillId="0" borderId="4" xfId="0" applyNumberFormat="1" applyFont="1" applyBorder="1" applyAlignment="1">
      <alignment horizontal="center" vertical="center"/>
    </xf>
    <xf numFmtId="2" fontId="4" fillId="0" borderId="1" xfId="3" applyNumberFormat="1" applyFont="1" applyBorder="1" applyAlignment="1">
      <alignment horizontal="center" vertical="top" wrapText="1"/>
    </xf>
    <xf numFmtId="0" fontId="10" fillId="0" borderId="17" xfId="25" applyFont="1" applyBorder="1" applyAlignment="1">
      <alignment horizontal="left" vertical="top" wrapText="1"/>
    </xf>
    <xf numFmtId="0" fontId="10" fillId="0" borderId="1" xfId="25" applyFont="1" applyBorder="1" applyAlignment="1">
      <alignment horizontal="left" vertical="top" wrapText="1"/>
    </xf>
    <xf numFmtId="0" fontId="4" fillId="0" borderId="17" xfId="25" applyFont="1" applyBorder="1" applyAlignment="1">
      <alignment horizontal="left" vertical="top" wrapText="1"/>
    </xf>
    <xf numFmtId="0" fontId="10" fillId="0" borderId="17" xfId="25" applyFont="1" applyFill="1" applyBorder="1" applyAlignment="1">
      <alignment horizontal="left" vertical="top" wrapText="1"/>
    </xf>
    <xf numFmtId="0" fontId="4" fillId="0" borderId="1" xfId="25" applyFont="1" applyBorder="1" applyAlignment="1">
      <alignment horizontal="left" vertical="top" wrapText="1"/>
    </xf>
    <xf numFmtId="0" fontId="20" fillId="0" borderId="9" xfId="0" quotePrefix="1" applyFont="1" applyFill="1" applyBorder="1" applyAlignment="1">
      <alignment horizontal="center" vertical="center"/>
    </xf>
    <xf numFmtId="3" fontId="15" fillId="0" borderId="9" xfId="10" applyNumberFormat="1" applyFont="1" applyFill="1" applyBorder="1" applyAlignment="1">
      <alignment horizontal="right" vertical="center"/>
    </xf>
    <xf numFmtId="0" fontId="20" fillId="0" borderId="4" xfId="0" applyFont="1" applyFill="1" applyBorder="1" applyAlignment="1">
      <alignment horizontal="center" vertical="center"/>
    </xf>
    <xf numFmtId="3" fontId="15" fillId="0" borderId="4" xfId="10" applyNumberFormat="1" applyFont="1" applyFill="1" applyBorder="1" applyAlignment="1">
      <alignment horizontal="right" vertical="center"/>
    </xf>
    <xf numFmtId="0" fontId="20" fillId="0" borderId="4" xfId="0" quotePrefix="1" applyFont="1" applyFill="1" applyBorder="1" applyAlignment="1">
      <alignment horizontal="center" vertical="center"/>
    </xf>
    <xf numFmtId="0" fontId="20" fillId="0" borderId="4" xfId="0" applyFont="1" applyFill="1" applyBorder="1" applyAlignment="1">
      <alignment horizontal="center" vertical="center" wrapText="1"/>
    </xf>
    <xf numFmtId="3" fontId="15" fillId="0" borderId="4" xfId="10" applyNumberFormat="1" applyFont="1" applyFill="1" applyBorder="1" applyAlignment="1">
      <alignment horizontal="right" vertical="center" wrapText="1"/>
    </xf>
    <xf numFmtId="0" fontId="15" fillId="0" borderId="5" xfId="0" applyFont="1" applyFill="1" applyBorder="1" applyAlignment="1">
      <alignment horizontal="center" vertical="center"/>
    </xf>
    <xf numFmtId="3" fontId="15" fillId="0" borderId="5" xfId="10" applyNumberFormat="1" applyFont="1" applyFill="1" applyBorder="1" applyAlignment="1">
      <alignment horizontal="right" vertical="center"/>
    </xf>
    <xf numFmtId="3" fontId="0" fillId="0" borderId="25" xfId="0" applyNumberFormat="1" applyBorder="1" applyAlignment="1">
      <alignment horizontal="right"/>
    </xf>
    <xf numFmtId="0" fontId="20" fillId="0" borderId="21" xfId="0" quotePrefix="1" applyFont="1" applyFill="1" applyBorder="1" applyAlignment="1">
      <alignment horizontal="left" vertical="center" wrapText="1"/>
    </xf>
    <xf numFmtId="0" fontId="6" fillId="0" borderId="4" xfId="0" applyFont="1" applyFill="1" applyBorder="1" applyAlignment="1">
      <alignment horizontal="left" vertical="center" wrapText="1"/>
    </xf>
    <xf numFmtId="0" fontId="10" fillId="0" borderId="4" xfId="0" applyFont="1" applyBorder="1" applyAlignment="1">
      <alignment horizontal="left" vertical="center" wrapText="1"/>
    </xf>
    <xf numFmtId="0" fontId="6" fillId="3" borderId="17" xfId="0" applyFont="1" applyFill="1" applyBorder="1" applyAlignment="1">
      <alignment vertical="center"/>
    </xf>
    <xf numFmtId="0" fontId="6" fillId="0" borderId="17" xfId="0" applyFont="1" applyFill="1" applyBorder="1" applyAlignment="1">
      <alignment vertical="center"/>
    </xf>
    <xf numFmtId="0" fontId="4" fillId="3" borderId="17"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3" borderId="4" xfId="0" applyFont="1" applyFill="1" applyBorder="1" applyAlignment="1">
      <alignment horizontal="left" vertical="top"/>
    </xf>
    <xf numFmtId="0" fontId="4" fillId="0" borderId="17" xfId="0" applyFont="1" applyFill="1" applyBorder="1" applyAlignment="1">
      <alignment horizontal="left" vertical="center" wrapText="1"/>
    </xf>
    <xf numFmtId="0" fontId="13" fillId="0" borderId="17" xfId="3" applyFont="1" applyFill="1" applyBorder="1" applyAlignment="1">
      <alignment horizontal="center" vertical="center"/>
    </xf>
    <xf numFmtId="166" fontId="4" fillId="0" borderId="17" xfId="1" applyFont="1" applyFill="1" applyBorder="1" applyAlignment="1">
      <alignment horizontal="center" vertical="center"/>
    </xf>
    <xf numFmtId="0" fontId="6" fillId="3" borderId="4" xfId="0" applyFont="1" applyFill="1" applyBorder="1" applyAlignment="1">
      <alignment horizontal="center" vertical="center"/>
    </xf>
    <xf numFmtId="2" fontId="6" fillId="0" borderId="1" xfId="0" applyNumberFormat="1" applyFont="1" applyBorder="1" applyAlignment="1">
      <alignment horizontal="center" vertical="center"/>
    </xf>
    <xf numFmtId="166" fontId="4" fillId="0" borderId="1" xfId="1" applyFont="1" applyBorder="1" applyAlignment="1">
      <alignment horizontal="center" vertical="center"/>
    </xf>
    <xf numFmtId="166" fontId="4" fillId="0" borderId="1" xfId="1" applyFont="1" applyBorder="1" applyAlignment="1">
      <alignment horizontal="center" vertical="center" wrapText="1"/>
    </xf>
    <xf numFmtId="0" fontId="4" fillId="3" borderId="4" xfId="0" applyFont="1" applyFill="1" applyBorder="1" applyAlignment="1">
      <alignment horizontal="left" vertical="top" wrapText="1"/>
    </xf>
    <xf numFmtId="2" fontId="5" fillId="3" borderId="4" xfId="0" applyNumberFormat="1" applyFont="1" applyFill="1" applyBorder="1" applyAlignment="1">
      <alignment horizontal="center" vertical="center"/>
    </xf>
    <xf numFmtId="0" fontId="4" fillId="3" borderId="17" xfId="21" applyFont="1" applyFill="1" applyBorder="1" applyAlignment="1">
      <alignment horizontal="left" vertical="top" wrapText="1"/>
    </xf>
    <xf numFmtId="0" fontId="6" fillId="3" borderId="5" xfId="0" applyFont="1" applyFill="1" applyBorder="1" applyAlignment="1">
      <alignment horizontal="left" vertical="top" wrapText="1"/>
    </xf>
    <xf numFmtId="13" fontId="4" fillId="3" borderId="4" xfId="1" applyNumberFormat="1" applyFont="1" applyFill="1" applyBorder="1" applyAlignment="1">
      <alignment horizontal="left" vertical="top" wrapText="1"/>
    </xf>
    <xf numFmtId="0" fontId="4" fillId="3" borderId="4"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7" xfId="0" applyFont="1" applyFill="1" applyBorder="1" applyAlignment="1">
      <alignment horizontal="left" vertical="top" wrapText="1"/>
    </xf>
    <xf numFmtId="0" fontId="6" fillId="0" borderId="5" xfId="0" applyFont="1" applyFill="1" applyBorder="1" applyAlignment="1">
      <alignment horizontal="left" vertical="top" wrapText="1"/>
    </xf>
    <xf numFmtId="0" fontId="4" fillId="0" borderId="17" xfId="25" applyFont="1" applyFill="1" applyBorder="1" applyAlignment="1">
      <alignment horizontal="left" vertical="top" wrapText="1"/>
    </xf>
    <xf numFmtId="0" fontId="6" fillId="0" borderId="5" xfId="0" applyFont="1" applyFill="1" applyBorder="1" applyAlignment="1">
      <alignment horizontal="left" vertical="top"/>
    </xf>
    <xf numFmtId="0" fontId="6" fillId="0" borderId="5" xfId="0" applyFont="1" applyFill="1" applyBorder="1" applyAlignment="1">
      <alignment horizontal="center" vertical="center"/>
    </xf>
    <xf numFmtId="165" fontId="4" fillId="0" borderId="4" xfId="8" applyFont="1" applyFill="1" applyBorder="1" applyAlignment="1">
      <alignment horizontal="left" vertical="top" wrapText="1"/>
    </xf>
    <xf numFmtId="2" fontId="5" fillId="0" borderId="1" xfId="0" applyNumberFormat="1" applyFont="1" applyBorder="1" applyAlignment="1">
      <alignment horizontal="center" vertical="center"/>
    </xf>
    <xf numFmtId="0" fontId="6" fillId="0" borderId="17" xfId="0" applyFont="1" applyFill="1" applyBorder="1" applyAlignment="1">
      <alignment horizontal="center" wrapText="1"/>
    </xf>
    <xf numFmtId="166" fontId="4" fillId="0" borderId="4" xfId="1" applyFont="1" applyFill="1" applyBorder="1" applyAlignment="1">
      <alignment horizontal="center" vertical="center"/>
    </xf>
    <xf numFmtId="2" fontId="6" fillId="0" borderId="17" xfId="0" applyNumberFormat="1" applyFont="1" applyFill="1" applyBorder="1" applyAlignment="1">
      <alignment horizontal="center" vertical="center"/>
    </xf>
    <xf numFmtId="0" fontId="6" fillId="0" borderId="17" xfId="0" applyFont="1" applyFill="1" applyBorder="1" applyAlignment="1">
      <alignment horizontal="center" vertical="center"/>
    </xf>
    <xf numFmtId="166" fontId="4" fillId="0" borderId="17" xfId="1" applyFont="1" applyFill="1" applyBorder="1" applyAlignment="1">
      <alignment horizontal="center" vertical="center" wrapText="1"/>
    </xf>
    <xf numFmtId="0" fontId="5" fillId="0" borderId="17" xfId="0" applyFont="1" applyFill="1" applyBorder="1" applyAlignment="1">
      <alignment vertical="center"/>
    </xf>
    <xf numFmtId="0" fontId="6" fillId="0" borderId="17" xfId="0" applyFont="1" applyFill="1" applyBorder="1" applyAlignment="1">
      <alignment horizontal="right" vertical="center" wrapText="1"/>
    </xf>
    <xf numFmtId="0" fontId="7" fillId="0" borderId="17" xfId="3" applyFont="1" applyFill="1" applyBorder="1" applyAlignment="1">
      <alignment horizontal="center" vertical="center" wrapText="1"/>
    </xf>
    <xf numFmtId="0" fontId="6" fillId="0" borderId="30" xfId="0" applyFont="1" applyFill="1" applyBorder="1" applyAlignment="1">
      <alignment vertical="center"/>
    </xf>
    <xf numFmtId="0" fontId="6" fillId="0" borderId="33" xfId="0" applyFont="1" applyFill="1" applyBorder="1" applyAlignment="1">
      <alignment vertical="center"/>
    </xf>
    <xf numFmtId="0" fontId="0" fillId="0" borderId="17" xfId="0" applyFill="1" applyBorder="1" applyAlignment="1">
      <alignment vertical="center"/>
    </xf>
    <xf numFmtId="0" fontId="6" fillId="0" borderId="30" xfId="0" applyFont="1" applyFill="1" applyBorder="1" applyAlignment="1">
      <alignment horizontal="left" vertical="center" wrapText="1"/>
    </xf>
    <xf numFmtId="0" fontId="16" fillId="0" borderId="0" xfId="0" applyFont="1" applyFill="1" applyAlignment="1">
      <alignment vertical="center"/>
    </xf>
    <xf numFmtId="0" fontId="4" fillId="0" borderId="17" xfId="0" applyFont="1" applyFill="1" applyBorder="1" applyAlignment="1">
      <alignment horizontal="left" vertical="center"/>
    </xf>
    <xf numFmtId="0" fontId="6" fillId="0" borderId="17" xfId="0" applyFont="1" applyFill="1" applyBorder="1" applyAlignment="1">
      <alignment horizontal="left" vertical="center"/>
    </xf>
    <xf numFmtId="166" fontId="4" fillId="0" borderId="5" xfId="1" applyFont="1" applyBorder="1" applyAlignment="1">
      <alignment horizontal="center" vertical="center"/>
    </xf>
    <xf numFmtId="0" fontId="16" fillId="0" borderId="0" xfId="0" applyFont="1" applyFill="1"/>
    <xf numFmtId="0" fontId="5" fillId="3" borderId="17" xfId="0" applyFont="1" applyFill="1" applyBorder="1" applyAlignment="1">
      <alignment vertical="center"/>
    </xf>
    <xf numFmtId="0" fontId="6" fillId="3" borderId="4" xfId="0" applyFont="1" applyFill="1" applyBorder="1" applyAlignment="1">
      <alignment horizontal="left" vertical="center"/>
    </xf>
    <xf numFmtId="0" fontId="7" fillId="0" borderId="34" xfId="3" applyFont="1" applyBorder="1" applyAlignment="1">
      <alignment horizontal="left" vertical="center"/>
    </xf>
    <xf numFmtId="0" fontId="6" fillId="0" borderId="17" xfId="0" applyFont="1" applyBorder="1" applyAlignment="1">
      <alignment horizontal="left"/>
    </xf>
    <xf numFmtId="0" fontId="6" fillId="3" borderId="1" xfId="0" applyFont="1" applyFill="1" applyBorder="1" applyAlignment="1">
      <alignment horizontal="left" vertical="center"/>
    </xf>
    <xf numFmtId="3" fontId="4" fillId="0" borderId="4" xfId="1" applyNumberFormat="1" applyFont="1" applyBorder="1" applyAlignment="1">
      <alignment horizontal="right" vertical="center" wrapText="1"/>
    </xf>
    <xf numFmtId="166" fontId="4" fillId="0" borderId="4" xfId="1" applyFont="1" applyBorder="1" applyAlignment="1">
      <alignment horizontal="right" vertical="center" wrapText="1"/>
    </xf>
    <xf numFmtId="0" fontId="6" fillId="0" borderId="1" xfId="0" applyFont="1" applyFill="1" applyBorder="1" applyAlignment="1">
      <alignment horizontal="left" vertical="center" wrapText="1"/>
    </xf>
    <xf numFmtId="1" fontId="6" fillId="0" borderId="4"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69" fontId="6" fillId="0" borderId="4" xfId="0" applyNumberFormat="1" applyFont="1" applyBorder="1" applyAlignment="1">
      <alignment horizontal="center" vertical="center"/>
    </xf>
    <xf numFmtId="2" fontId="6" fillId="0" borderId="0" xfId="0" applyNumberFormat="1" applyFont="1" applyFill="1" applyBorder="1" applyAlignment="1">
      <alignment horizontal="center" vertical="center"/>
    </xf>
    <xf numFmtId="0" fontId="6" fillId="0" borderId="30" xfId="0" applyFont="1" applyFill="1" applyBorder="1" applyAlignment="1">
      <alignment horizontal="right" vertical="center" wrapText="1"/>
    </xf>
    <xf numFmtId="164" fontId="6" fillId="0" borderId="4" xfId="0" applyNumberFormat="1" applyFont="1" applyBorder="1" applyAlignment="1">
      <alignment horizontal="center" vertical="center" wrapText="1"/>
    </xf>
    <xf numFmtId="0" fontId="6" fillId="0" borderId="4" xfId="0" applyNumberFormat="1" applyFont="1" applyBorder="1" applyAlignment="1">
      <alignment horizontal="center" vertical="center"/>
    </xf>
    <xf numFmtId="2" fontId="16" fillId="0" borderId="27" xfId="0" applyNumberFormat="1" applyFont="1" applyBorder="1" applyAlignment="1">
      <alignment horizontal="center" vertical="center"/>
    </xf>
    <xf numFmtId="166" fontId="7" fillId="0" borderId="32" xfId="1" applyFont="1" applyBorder="1" applyAlignment="1">
      <alignment horizontal="center" vertical="center" wrapText="1"/>
    </xf>
    <xf numFmtId="0" fontId="4" fillId="3" borderId="1" xfId="0" applyFont="1" applyFill="1" applyBorder="1" applyAlignment="1">
      <alignment horizontal="left" vertical="top" wrapText="1"/>
    </xf>
    <xf numFmtId="0" fontId="6" fillId="0" borderId="5" xfId="0" applyFont="1" applyBorder="1" applyAlignment="1">
      <alignment horizontal="center" vertical="center" wrapText="1"/>
    </xf>
    <xf numFmtId="0" fontId="6" fillId="3" borderId="5" xfId="0" applyFont="1" applyFill="1" applyBorder="1" applyAlignment="1">
      <alignment horizontal="left" vertical="center"/>
    </xf>
    <xf numFmtId="168" fontId="4" fillId="0" borderId="4" xfId="1" applyNumberFormat="1" applyFont="1" applyBorder="1" applyAlignment="1">
      <alignment horizontal="center" vertical="center" wrapText="1"/>
    </xf>
    <xf numFmtId="165" fontId="4" fillId="0" borderId="1" xfId="8" applyFont="1" applyFill="1" applyBorder="1" applyAlignment="1">
      <alignment horizontal="left" vertical="top" wrapText="1"/>
    </xf>
    <xf numFmtId="165" fontId="4" fillId="2" borderId="1" xfId="8" applyFont="1" applyFill="1" applyBorder="1" applyAlignment="1">
      <alignment horizontal="left" vertical="top" wrapText="1"/>
    </xf>
    <xf numFmtId="167" fontId="6" fillId="0" borderId="17" xfId="0" applyNumberFormat="1" applyFont="1" applyBorder="1" applyAlignment="1">
      <alignment horizontal="center" vertical="center" wrapText="1"/>
    </xf>
    <xf numFmtId="167" fontId="6" fillId="0" borderId="17" xfId="0" applyNumberFormat="1" applyFont="1" applyFill="1" applyBorder="1" applyAlignment="1">
      <alignment horizontal="center" vertical="center"/>
    </xf>
    <xf numFmtId="167" fontId="6" fillId="0" borderId="17" xfId="0"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xf>
    <xf numFmtId="0" fontId="4" fillId="0" borderId="1" xfId="25" applyFont="1" applyFill="1" applyBorder="1" applyAlignment="1">
      <alignment horizontal="left" vertical="top" wrapText="1"/>
    </xf>
    <xf numFmtId="167" fontId="6" fillId="0" borderId="5" xfId="0" applyNumberFormat="1" applyFont="1" applyFill="1" applyBorder="1" applyAlignment="1">
      <alignment horizontal="center" vertical="center"/>
    </xf>
    <xf numFmtId="164" fontId="16" fillId="0" borderId="0" xfId="0" applyNumberFormat="1" applyFont="1" applyFill="1" applyAlignment="1">
      <alignment vertical="center"/>
    </xf>
    <xf numFmtId="2" fontId="6" fillId="0" borderId="4" xfId="0" applyNumberFormat="1" applyFont="1" applyFill="1" applyBorder="1" applyAlignment="1">
      <alignment horizontal="center" vertical="center"/>
    </xf>
    <xf numFmtId="0" fontId="6" fillId="0" borderId="4" xfId="0" applyFont="1" applyFill="1" applyBorder="1" applyAlignment="1">
      <alignment horizontal="left" vertical="top"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xf>
    <xf numFmtId="166" fontId="4" fillId="0" borderId="4" xfId="1" applyFont="1" applyFill="1" applyBorder="1" applyAlignment="1">
      <alignment horizontal="center" vertical="center" wrapText="1"/>
    </xf>
    <xf numFmtId="2" fontId="4" fillId="0" borderId="4" xfId="0" applyNumberFormat="1" applyFont="1" applyFill="1" applyBorder="1" applyAlignment="1">
      <alignment horizontal="center" vertical="center"/>
    </xf>
    <xf numFmtId="0" fontId="4" fillId="0" borderId="4" xfId="0" applyFont="1" applyFill="1" applyBorder="1" applyAlignment="1">
      <alignment horizontal="left" vertical="top" wrapText="1"/>
    </xf>
    <xf numFmtId="0" fontId="4" fillId="0" borderId="17" xfId="0" applyFont="1" applyFill="1" applyBorder="1" applyAlignment="1">
      <alignment horizontal="center" vertical="center" wrapText="1"/>
    </xf>
    <xf numFmtId="2" fontId="4" fillId="0" borderId="4" xfId="3" applyNumberFormat="1" applyFont="1" applyFill="1" applyBorder="1" applyAlignment="1">
      <alignment horizontal="center" vertical="center" wrapText="1"/>
    </xf>
    <xf numFmtId="167" fontId="6" fillId="0" borderId="4" xfId="0" applyNumberFormat="1" applyFont="1" applyFill="1" applyBorder="1" applyAlignment="1">
      <alignment horizontal="center" vertical="center" wrapText="1"/>
    </xf>
    <xf numFmtId="2" fontId="6" fillId="0" borderId="35" xfId="0" applyNumberFormat="1" applyFont="1" applyFill="1" applyBorder="1" applyAlignment="1">
      <alignment horizontal="center" vertical="center"/>
    </xf>
    <xf numFmtId="167" fontId="4" fillId="0" borderId="17" xfId="0" applyNumberFormat="1" applyFont="1" applyFill="1" applyBorder="1" applyAlignment="1">
      <alignment horizontal="center" vertical="center" wrapText="1"/>
    </xf>
    <xf numFmtId="169" fontId="6" fillId="0" borderId="17" xfId="0" applyNumberFormat="1" applyFont="1" applyFill="1" applyBorder="1" applyAlignment="1">
      <alignment horizontal="center" vertical="center"/>
    </xf>
    <xf numFmtId="0" fontId="6" fillId="0" borderId="17" xfId="0" applyFont="1" applyFill="1" applyBorder="1" applyAlignment="1">
      <alignment horizontal="left" wrapText="1"/>
    </xf>
    <xf numFmtId="170" fontId="4" fillId="0" borderId="17" xfId="1" applyNumberFormat="1" applyFont="1" applyFill="1" applyBorder="1" applyAlignment="1">
      <alignment horizontal="center" vertical="center"/>
    </xf>
    <xf numFmtId="166" fontId="4" fillId="0" borderId="30" xfId="1" applyFont="1" applyFill="1" applyBorder="1" applyAlignment="1">
      <alignment horizontal="center" vertical="center"/>
    </xf>
    <xf numFmtId="2" fontId="6" fillId="0" borderId="30" xfId="0" applyNumberFormat="1" applyFont="1" applyFill="1" applyBorder="1" applyAlignment="1">
      <alignment horizontal="center" vertical="center"/>
    </xf>
    <xf numFmtId="0" fontId="6" fillId="0" borderId="30" xfId="0" applyFont="1" applyFill="1" applyBorder="1" applyAlignment="1">
      <alignment horizontal="center" vertical="center"/>
    </xf>
    <xf numFmtId="0" fontId="6" fillId="0" borderId="30" xfId="0" applyFont="1" applyFill="1" applyBorder="1" applyAlignment="1">
      <alignment horizontal="center" vertical="center" wrapText="1"/>
    </xf>
    <xf numFmtId="3" fontId="15" fillId="0" borderId="26" xfId="10" applyNumberFormat="1" applyFont="1" applyFill="1" applyBorder="1" applyAlignment="1">
      <alignment horizontal="right" vertical="center"/>
    </xf>
    <xf numFmtId="3" fontId="0" fillId="0" borderId="28" xfId="0" applyNumberFormat="1" applyBorder="1" applyAlignment="1">
      <alignment horizontal="right"/>
    </xf>
    <xf numFmtId="3" fontId="15" fillId="4" borderId="36" xfId="10" applyNumberFormat="1" applyFont="1" applyFill="1" applyBorder="1" applyAlignment="1">
      <alignment horizontal="right" vertical="center"/>
    </xf>
    <xf numFmtId="0" fontId="6" fillId="0" borderId="0" xfId="0" applyFont="1" applyFill="1" applyBorder="1" applyAlignment="1">
      <alignment vertical="center"/>
    </xf>
    <xf numFmtId="166" fontId="7" fillId="0" borderId="32" xfId="1" applyFont="1" applyBorder="1" applyAlignment="1">
      <alignment horizontal="center" vertical="center" wrapText="1"/>
    </xf>
    <xf numFmtId="9" fontId="6" fillId="0" borderId="17" xfId="0" applyNumberFormat="1" applyFont="1" applyBorder="1" applyAlignment="1">
      <alignment horizontal="center" vertical="center" wrapText="1"/>
    </xf>
    <xf numFmtId="2" fontId="16" fillId="0" borderId="27" xfId="0" applyNumberFormat="1" applyFont="1" applyFill="1" applyBorder="1" applyAlignment="1">
      <alignment vertical="center"/>
    </xf>
    <xf numFmtId="2" fontId="16" fillId="0" borderId="28" xfId="0" applyNumberFormat="1" applyFont="1" applyFill="1" applyBorder="1" applyAlignment="1">
      <alignment vertical="center"/>
    </xf>
    <xf numFmtId="2" fontId="7" fillId="0" borderId="32" xfId="2" applyNumberFormat="1" applyFont="1" applyFill="1" applyBorder="1" applyAlignment="1">
      <alignment horizontal="center" vertical="center" wrapText="1"/>
    </xf>
    <xf numFmtId="0" fontId="7" fillId="0" borderId="32" xfId="2" applyFont="1" applyFill="1" applyBorder="1" applyAlignment="1">
      <alignment horizontal="center" vertical="center"/>
    </xf>
    <xf numFmtId="0" fontId="7" fillId="0" borderId="32" xfId="2" applyFont="1" applyFill="1" applyBorder="1" applyAlignment="1">
      <alignment horizontal="center" vertical="center" wrapText="1"/>
    </xf>
    <xf numFmtId="2" fontId="7" fillId="0" borderId="17" xfId="3" applyNumberFormat="1" applyFont="1" applyFill="1" applyBorder="1" applyAlignment="1">
      <alignment horizontal="center" vertical="center" wrapText="1"/>
    </xf>
    <xf numFmtId="2" fontId="7" fillId="0" borderId="17" xfId="8" applyNumberFormat="1" applyFont="1" applyFill="1" applyBorder="1" applyAlignment="1">
      <alignment horizontal="center" vertical="center" wrapText="1"/>
    </xf>
    <xf numFmtId="165" fontId="10" fillId="0" borderId="17" xfId="8" applyFont="1" applyFill="1" applyBorder="1" applyAlignment="1">
      <alignment horizontal="left" vertical="center" wrapText="1"/>
    </xf>
    <xf numFmtId="2" fontId="14" fillId="0" borderId="17" xfId="8" applyNumberFormat="1" applyFont="1" applyFill="1" applyBorder="1" applyAlignment="1">
      <alignment horizontal="center" vertical="center" wrapText="1"/>
    </xf>
    <xf numFmtId="2" fontId="4" fillId="0" borderId="17" xfId="3"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wrapText="1"/>
    </xf>
    <xf numFmtId="2" fontId="4" fillId="0" borderId="17" xfId="0" applyNumberFormat="1" applyFont="1" applyFill="1" applyBorder="1" applyAlignment="1">
      <alignment horizontal="center" vertical="center"/>
    </xf>
    <xf numFmtId="2" fontId="7" fillId="0" borderId="17" xfId="0" applyNumberFormat="1" applyFont="1" applyFill="1" applyBorder="1" applyAlignment="1">
      <alignment horizontal="center" vertical="center"/>
    </xf>
    <xf numFmtId="166" fontId="7" fillId="0" borderId="32" xfId="1" applyFont="1" applyFill="1" applyBorder="1" applyAlignment="1">
      <alignment horizontal="center" vertical="center" wrapText="1"/>
    </xf>
    <xf numFmtId="0" fontId="0" fillId="0" borderId="0" xfId="0" applyFill="1" applyAlignment="1">
      <alignment vertical="center"/>
    </xf>
    <xf numFmtId="2" fontId="5" fillId="0" borderId="17" xfId="0" applyNumberFormat="1" applyFont="1" applyFill="1" applyBorder="1" applyAlignment="1">
      <alignment horizontal="center" vertical="center"/>
    </xf>
    <xf numFmtId="0" fontId="5" fillId="0" borderId="17" xfId="0" applyFont="1" applyFill="1" applyBorder="1" applyAlignment="1">
      <alignment horizontal="left" vertical="center" wrapText="1"/>
    </xf>
    <xf numFmtId="0" fontId="10" fillId="0" borderId="17" xfId="0" applyFont="1" applyFill="1" applyBorder="1" applyAlignment="1">
      <alignment horizontal="left" vertical="center" wrapText="1"/>
    </xf>
    <xf numFmtId="2" fontId="7" fillId="0" borderId="30" xfId="8" applyNumberFormat="1" applyFont="1" applyFill="1" applyBorder="1" applyAlignment="1">
      <alignment horizontal="center" vertical="center" wrapText="1"/>
    </xf>
    <xf numFmtId="165" fontId="14" fillId="0" borderId="30" xfId="8" applyFont="1" applyFill="1" applyBorder="1" applyAlignment="1">
      <alignment horizontal="left" vertical="center" wrapText="1"/>
    </xf>
    <xf numFmtId="166" fontId="4" fillId="0" borderId="30" xfId="1" applyFont="1" applyFill="1" applyBorder="1" applyAlignment="1">
      <alignment horizontal="center" vertical="center" wrapText="1"/>
    </xf>
    <xf numFmtId="2" fontId="6" fillId="0" borderId="33" xfId="0" applyNumberFormat="1" applyFont="1" applyFill="1" applyBorder="1" applyAlignment="1">
      <alignment horizontal="center" vertical="center"/>
    </xf>
    <xf numFmtId="0" fontId="6" fillId="0" borderId="33" xfId="0" applyFont="1" applyFill="1" applyBorder="1" applyAlignment="1">
      <alignment horizontal="left" vertical="center" wrapText="1"/>
    </xf>
    <xf numFmtId="0" fontId="6" fillId="0" borderId="33" xfId="0" applyFont="1" applyFill="1" applyBorder="1" applyAlignment="1">
      <alignment horizontal="center" vertical="center"/>
    </xf>
    <xf numFmtId="166" fontId="4" fillId="0" borderId="33" xfId="1" applyFont="1" applyFill="1" applyBorder="1" applyAlignment="1">
      <alignment horizontal="center" vertical="center"/>
    </xf>
    <xf numFmtId="166" fontId="4" fillId="0" borderId="33" xfId="1" applyFont="1" applyFill="1" applyBorder="1" applyAlignment="1">
      <alignment horizontal="center" vertical="center" wrapText="1"/>
    </xf>
    <xf numFmtId="0" fontId="23" fillId="0" borderId="17" xfId="22" applyFont="1" applyFill="1" applyBorder="1" applyAlignment="1">
      <alignment vertical="center" wrapText="1"/>
    </xf>
    <xf numFmtId="0" fontId="23" fillId="0" borderId="17" xfId="22" applyFont="1" applyFill="1" applyBorder="1" applyAlignment="1">
      <alignment horizontal="center" vertical="center" wrapText="1"/>
    </xf>
    <xf numFmtId="164" fontId="0" fillId="0" borderId="0" xfId="0" applyNumberFormat="1" applyFill="1" applyAlignment="1">
      <alignment vertical="center"/>
    </xf>
    <xf numFmtId="0" fontId="6" fillId="0" borderId="17" xfId="0" applyFont="1" applyFill="1" applyBorder="1" applyAlignment="1">
      <alignment horizontal="left"/>
    </xf>
    <xf numFmtId="0" fontId="6" fillId="0" borderId="17" xfId="0" applyFont="1" applyFill="1" applyBorder="1" applyAlignment="1">
      <alignment horizontal="right" wrapText="1"/>
    </xf>
    <xf numFmtId="0" fontId="12" fillId="0" borderId="17" xfId="0" applyFont="1" applyFill="1" applyBorder="1" applyAlignment="1">
      <alignment horizontal="left" vertical="center" wrapText="1"/>
    </xf>
    <xf numFmtId="0" fontId="23" fillId="0" borderId="17" xfId="0" applyFont="1" applyFill="1" applyBorder="1" applyAlignment="1">
      <alignment vertical="center" wrapText="1"/>
    </xf>
    <xf numFmtId="0" fontId="6" fillId="0" borderId="17" xfId="0" applyFont="1" applyFill="1" applyBorder="1" applyAlignment="1">
      <alignment vertical="center" wrapText="1"/>
    </xf>
    <xf numFmtId="0" fontId="23" fillId="0" borderId="17" xfId="0" applyFont="1" applyFill="1" applyBorder="1" applyAlignment="1">
      <alignment horizontal="left" vertical="center" wrapText="1"/>
    </xf>
    <xf numFmtId="2" fontId="16" fillId="0" borderId="0" xfId="0" applyNumberFormat="1" applyFont="1" applyFill="1" applyAlignment="1">
      <alignment horizontal="center" vertical="center"/>
    </xf>
    <xf numFmtId="0" fontId="5" fillId="0" borderId="0" xfId="0" applyFont="1" applyFill="1" applyAlignment="1">
      <alignment vertical="center" wrapText="1"/>
    </xf>
    <xf numFmtId="0" fontId="16" fillId="0" borderId="0" xfId="0" applyFont="1" applyFill="1" applyAlignment="1">
      <alignment horizontal="center" vertical="center"/>
    </xf>
    <xf numFmtId="2" fontId="7" fillId="0" borderId="33" xfId="2" applyNumberFormat="1" applyFont="1" applyFill="1" applyBorder="1" applyAlignment="1">
      <alignment horizontal="center" vertical="center" wrapText="1"/>
    </xf>
    <xf numFmtId="0" fontId="7" fillId="0" borderId="33" xfId="2" applyFont="1" applyFill="1" applyBorder="1" applyAlignment="1">
      <alignment horizontal="center" vertical="center"/>
    </xf>
    <xf numFmtId="0" fontId="7" fillId="0" borderId="33" xfId="2" applyFont="1" applyFill="1" applyBorder="1" applyAlignment="1">
      <alignment horizontal="center" vertical="center" wrapText="1"/>
    </xf>
    <xf numFmtId="166" fontId="7" fillId="0" borderId="33" xfId="1" applyFont="1" applyFill="1" applyBorder="1" applyAlignment="1">
      <alignment horizontal="center" vertical="center" wrapText="1"/>
    </xf>
    <xf numFmtId="0" fontId="27" fillId="0" borderId="0" xfId="0" applyFont="1" applyFill="1" applyAlignment="1">
      <alignment vertical="center"/>
    </xf>
    <xf numFmtId="0" fontId="6" fillId="0" borderId="17" xfId="0" applyFont="1" applyFill="1" applyBorder="1" applyAlignment="1">
      <alignment horizontal="left" vertical="top" wrapText="1"/>
    </xf>
    <xf numFmtId="167" fontId="6" fillId="0" borderId="17" xfId="0" applyNumberFormat="1" applyFont="1" applyFill="1" applyBorder="1" applyAlignment="1">
      <alignment horizontal="center" wrapText="1"/>
    </xf>
    <xf numFmtId="2" fontId="4" fillId="0" borderId="30" xfId="0" applyNumberFormat="1" applyFont="1" applyFill="1" applyBorder="1" applyAlignment="1">
      <alignment horizontal="center" vertical="center"/>
    </xf>
    <xf numFmtId="0" fontId="4" fillId="0" borderId="17" xfId="0" applyFont="1" applyFill="1" applyBorder="1" applyAlignment="1">
      <alignment horizontal="left" wrapText="1"/>
    </xf>
    <xf numFmtId="166" fontId="4" fillId="0" borderId="17" xfId="1" applyFont="1" applyFill="1" applyBorder="1" applyAlignment="1">
      <alignment horizontal="center" wrapText="1"/>
    </xf>
    <xf numFmtId="0" fontId="4" fillId="0" borderId="30" xfId="0" applyFont="1" applyFill="1" applyBorder="1" applyAlignment="1">
      <alignment horizontal="left" vertical="center" wrapText="1"/>
    </xf>
    <xf numFmtId="0" fontId="4" fillId="0" borderId="30" xfId="0" applyFont="1" applyFill="1" applyBorder="1" applyAlignment="1">
      <alignment horizontal="center" wrapText="1"/>
    </xf>
    <xf numFmtId="0" fontId="4" fillId="0" borderId="30" xfId="0" applyFont="1" applyFill="1" applyBorder="1" applyAlignment="1">
      <alignment horizontal="left" wrapText="1"/>
    </xf>
    <xf numFmtId="0" fontId="6" fillId="0" borderId="30" xfId="0" applyFont="1" applyFill="1" applyBorder="1" applyAlignment="1">
      <alignment horizontal="center" wrapText="1"/>
    </xf>
    <xf numFmtId="0" fontId="4" fillId="0" borderId="17" xfId="0" applyFont="1" applyFill="1" applyBorder="1" applyAlignment="1">
      <alignment horizontal="center" wrapText="1"/>
    </xf>
    <xf numFmtId="0" fontId="4" fillId="0" borderId="17" xfId="21" applyFont="1" applyFill="1" applyBorder="1" applyAlignment="1">
      <alignment horizontal="left" vertical="center" wrapText="1"/>
    </xf>
    <xf numFmtId="165" fontId="14" fillId="0" borderId="17" xfId="8" applyFont="1" applyFill="1" applyBorder="1" applyAlignment="1">
      <alignment horizontal="left" vertical="center" wrapText="1"/>
    </xf>
    <xf numFmtId="0" fontId="16" fillId="0" borderId="17" xfId="0" applyFont="1" applyFill="1" applyBorder="1" applyAlignment="1">
      <alignment vertical="center"/>
    </xf>
    <xf numFmtId="0" fontId="23" fillId="0" borderId="17" xfId="22" applyFont="1" applyFill="1" applyBorder="1" applyAlignment="1">
      <alignment horizontal="center" wrapText="1"/>
    </xf>
    <xf numFmtId="0" fontId="23" fillId="0" borderId="17" xfId="22" applyFont="1" applyFill="1" applyBorder="1" applyAlignment="1">
      <alignment horizontal="left" vertical="center" wrapText="1"/>
    </xf>
    <xf numFmtId="0" fontId="23" fillId="0" borderId="30" xfId="22" applyFont="1" applyFill="1" applyBorder="1" applyAlignment="1">
      <alignment horizontal="center" wrapText="1"/>
    </xf>
    <xf numFmtId="0" fontId="5" fillId="0" borderId="0" xfId="0" applyFont="1" applyFill="1" applyAlignment="1">
      <alignment horizontal="left" vertical="center" wrapText="1"/>
    </xf>
    <xf numFmtId="0" fontId="16" fillId="0" borderId="0" xfId="0" applyFont="1" applyFill="1" applyAlignment="1">
      <alignment horizontal="left" vertical="center"/>
    </xf>
    <xf numFmtId="2" fontId="16" fillId="0" borderId="27" xfId="0" applyNumberFormat="1" applyFont="1" applyFill="1" applyBorder="1" applyAlignment="1">
      <alignment horizontal="center" vertical="center"/>
    </xf>
    <xf numFmtId="0" fontId="4" fillId="0" borderId="0" xfId="0" applyFont="1" applyFill="1" applyBorder="1" applyAlignment="1">
      <alignment horizontal="left" wrapText="1"/>
    </xf>
    <xf numFmtId="0" fontId="10" fillId="0" borderId="1" xfId="0" applyFont="1" applyFill="1" applyBorder="1" applyAlignment="1">
      <alignment horizontal="left" vertical="center" wrapText="1"/>
    </xf>
    <xf numFmtId="0" fontId="4" fillId="0" borderId="30" xfId="3" applyFont="1" applyFill="1" applyBorder="1" applyAlignment="1">
      <alignment horizontal="right" vertical="center" wrapText="1"/>
    </xf>
    <xf numFmtId="0" fontId="4" fillId="0" borderId="30" xfId="3" applyFont="1" applyFill="1" applyBorder="1" applyAlignment="1">
      <alignment horizontal="center" vertical="center" wrapText="1"/>
    </xf>
    <xf numFmtId="0" fontId="7" fillId="0" borderId="30" xfId="3" applyFont="1" applyFill="1" applyBorder="1" applyAlignment="1">
      <alignment horizontal="center" vertical="center" wrapText="1"/>
    </xf>
    <xf numFmtId="167" fontId="4" fillId="0" borderId="30" xfId="3" applyNumberFormat="1" applyFont="1" applyFill="1" applyBorder="1" applyAlignment="1">
      <alignment horizontal="center" vertical="center" wrapText="1"/>
    </xf>
    <xf numFmtId="0" fontId="6" fillId="0" borderId="33" xfId="0" applyFont="1" applyFill="1" applyBorder="1" applyAlignment="1">
      <alignment horizontal="left" wrapText="1"/>
    </xf>
    <xf numFmtId="0" fontId="6" fillId="0" borderId="33" xfId="0" applyFont="1" applyFill="1" applyBorder="1" applyAlignment="1">
      <alignment horizontal="center" vertical="center" wrapText="1"/>
    </xf>
    <xf numFmtId="2" fontId="6" fillId="0" borderId="17" xfId="0" applyNumberFormat="1" applyFont="1" applyFill="1" applyBorder="1" applyAlignment="1">
      <alignment horizontal="center" vertical="center" wrapText="1"/>
    </xf>
    <xf numFmtId="2" fontId="4" fillId="0" borderId="17" xfId="25" applyNumberFormat="1" applyFont="1" applyFill="1" applyBorder="1" applyAlignment="1">
      <alignment horizontal="center" vertical="top"/>
    </xf>
    <xf numFmtId="0" fontId="6" fillId="0" borderId="4" xfId="0" applyFont="1" applyFill="1" applyBorder="1" applyAlignment="1">
      <alignment horizontal="center" vertical="center"/>
    </xf>
    <xf numFmtId="0" fontId="5" fillId="0" borderId="4" xfId="0" applyFont="1" applyFill="1" applyBorder="1" applyAlignment="1">
      <alignment horizontal="center" vertical="center"/>
    </xf>
    <xf numFmtId="2" fontId="7" fillId="0" borderId="17" xfId="25" applyNumberFormat="1" applyFont="1" applyFill="1" applyBorder="1" applyAlignment="1">
      <alignment horizontal="center" vertical="top"/>
    </xf>
    <xf numFmtId="165" fontId="10" fillId="0" borderId="17" xfId="8" applyFont="1" applyFill="1" applyBorder="1" applyAlignment="1">
      <alignment horizontal="left" vertical="top" wrapText="1"/>
    </xf>
    <xf numFmtId="2" fontId="7" fillId="0" borderId="4" xfId="8" applyNumberFormat="1" applyFont="1" applyFill="1" applyBorder="1" applyAlignment="1">
      <alignment horizontal="center" vertical="center" wrapText="1"/>
    </xf>
    <xf numFmtId="0" fontId="4" fillId="0" borderId="0" xfId="3" applyFont="1" applyFill="1"/>
    <xf numFmtId="167" fontId="6" fillId="0" borderId="4" xfId="0" applyNumberFormat="1" applyFont="1" applyFill="1" applyBorder="1" applyAlignment="1">
      <alignment horizontal="center" vertical="center"/>
    </xf>
    <xf numFmtId="2" fontId="4" fillId="0" borderId="1" xfId="25" applyNumberFormat="1" applyFont="1" applyFill="1" applyBorder="1" applyAlignment="1">
      <alignment horizontal="center" vertical="top"/>
    </xf>
    <xf numFmtId="0" fontId="10" fillId="0" borderId="1" xfId="25" applyFont="1" applyFill="1" applyBorder="1" applyAlignment="1">
      <alignment horizontal="left" vertical="top" wrapText="1"/>
    </xf>
    <xf numFmtId="2" fontId="6" fillId="0" borderId="1" xfId="0" applyNumberFormat="1" applyFont="1" applyFill="1" applyBorder="1" applyAlignment="1">
      <alignment horizontal="center" vertical="center"/>
    </xf>
    <xf numFmtId="0" fontId="6" fillId="0" borderId="1" xfId="0" applyFont="1" applyFill="1" applyBorder="1" applyAlignment="1">
      <alignment horizontal="left" vertical="top" wrapText="1"/>
    </xf>
    <xf numFmtId="165" fontId="10" fillId="0" borderId="4" xfId="8" applyFont="1" applyFill="1" applyBorder="1" applyAlignment="1">
      <alignment horizontal="left" vertical="top" wrapText="1"/>
    </xf>
    <xf numFmtId="2" fontId="5" fillId="0" borderId="4" xfId="0" applyNumberFormat="1" applyFont="1" applyFill="1" applyBorder="1" applyAlignment="1">
      <alignment horizontal="center" vertical="center"/>
    </xf>
    <xf numFmtId="0" fontId="5" fillId="0" borderId="4" xfId="0" applyFont="1" applyFill="1" applyBorder="1" applyAlignment="1">
      <alignment horizontal="left" vertical="top" wrapText="1"/>
    </xf>
    <xf numFmtId="165" fontId="14" fillId="0" borderId="4" xfId="8" applyFont="1" applyFill="1" applyBorder="1" applyAlignment="1">
      <alignment horizontal="left" vertical="top"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166" fontId="4" fillId="0" borderId="1" xfId="1" applyFont="1" applyFill="1" applyBorder="1" applyAlignment="1">
      <alignment horizontal="center" vertical="center"/>
    </xf>
    <xf numFmtId="166" fontId="4" fillId="0" borderId="1" xfId="1" applyFont="1" applyFill="1" applyBorder="1" applyAlignment="1">
      <alignment horizontal="center" vertical="center" wrapText="1"/>
    </xf>
    <xf numFmtId="0" fontId="10" fillId="0" borderId="4" xfId="0" applyFont="1" applyFill="1" applyBorder="1" applyAlignment="1">
      <alignment horizontal="left" vertical="top" wrapText="1"/>
    </xf>
    <xf numFmtId="0" fontId="23" fillId="0" borderId="17" xfId="22" applyFont="1" applyFill="1" applyBorder="1" applyAlignment="1">
      <alignment horizontal="left" vertical="top" wrapText="1"/>
    </xf>
    <xf numFmtId="0" fontId="4" fillId="0" borderId="1" xfId="0" applyFont="1" applyFill="1" applyBorder="1" applyAlignment="1">
      <alignment horizontal="left" vertical="top" wrapText="1"/>
    </xf>
    <xf numFmtId="0" fontId="10" fillId="0" borderId="4" xfId="0" applyFont="1" applyFill="1" applyBorder="1" applyAlignment="1">
      <alignment horizontal="left" vertical="center" wrapText="1"/>
    </xf>
    <xf numFmtId="0" fontId="21" fillId="0" borderId="0" xfId="0" applyFont="1" applyFill="1"/>
    <xf numFmtId="2" fontId="6" fillId="0" borderId="5" xfId="0" applyNumberFormat="1" applyFont="1" applyFill="1" applyBorder="1" applyAlignment="1">
      <alignment horizontal="center" vertical="center"/>
    </xf>
    <xf numFmtId="0" fontId="4" fillId="0" borderId="4" xfId="0" applyFont="1" applyFill="1" applyBorder="1" applyAlignment="1">
      <alignment horizontal="center" wrapText="1"/>
    </xf>
    <xf numFmtId="0" fontId="4" fillId="0" borderId="17" xfId="21" applyFont="1" applyFill="1" applyBorder="1" applyAlignment="1">
      <alignment horizontal="left" vertical="top" wrapText="1"/>
    </xf>
    <xf numFmtId="0" fontId="4" fillId="0" borderId="5" xfId="0" applyFont="1" applyFill="1" applyBorder="1" applyAlignment="1">
      <alignment horizontal="left" vertical="top" wrapText="1"/>
    </xf>
    <xf numFmtId="1" fontId="6" fillId="0" borderId="4" xfId="0" applyNumberFormat="1" applyFont="1" applyFill="1" applyBorder="1" applyAlignment="1">
      <alignment horizontal="center" vertical="center"/>
    </xf>
    <xf numFmtId="2" fontId="4" fillId="0" borderId="1" xfId="3" applyNumberFormat="1" applyFont="1" applyFill="1" applyBorder="1" applyAlignment="1">
      <alignment horizontal="center" vertical="top" wrapText="1"/>
    </xf>
    <xf numFmtId="0" fontId="6" fillId="0" borderId="1" xfId="0" applyFont="1" applyFill="1" applyBorder="1" applyAlignment="1">
      <alignment horizontal="center" vertical="center" wrapText="1"/>
    </xf>
    <xf numFmtId="2" fontId="7" fillId="0" borderId="1" xfId="3" applyNumberFormat="1" applyFont="1" applyFill="1" applyBorder="1" applyAlignment="1">
      <alignment horizontal="center" vertical="top" wrapText="1"/>
    </xf>
    <xf numFmtId="0" fontId="12" fillId="0" borderId="5" xfId="0" applyFont="1" applyFill="1" applyBorder="1" applyAlignment="1">
      <alignment horizontal="left" vertical="top"/>
    </xf>
    <xf numFmtId="166" fontId="4" fillId="0" borderId="5" xfId="1" applyFont="1" applyFill="1" applyBorder="1" applyAlignment="1">
      <alignment horizontal="center" vertical="center"/>
    </xf>
    <xf numFmtId="169" fontId="6" fillId="0" borderId="4" xfId="0" applyNumberFormat="1" applyFont="1" applyFill="1" applyBorder="1" applyAlignment="1">
      <alignment horizontal="center" vertical="center"/>
    </xf>
    <xf numFmtId="169" fontId="6" fillId="0" borderId="1" xfId="0" applyNumberFormat="1" applyFont="1" applyFill="1" applyBorder="1" applyAlignment="1">
      <alignment horizontal="center" vertical="center"/>
    </xf>
    <xf numFmtId="0" fontId="7" fillId="0" borderId="17" xfId="25" applyFont="1" applyFill="1" applyBorder="1" applyAlignment="1">
      <alignment horizontal="left" vertical="top" wrapText="1"/>
    </xf>
    <xf numFmtId="2" fontId="5" fillId="0"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7" fillId="0" borderId="5" xfId="3" applyFont="1" applyFill="1" applyBorder="1" applyAlignment="1">
      <alignment horizontal="center" vertical="center" wrapText="1"/>
    </xf>
    <xf numFmtId="166" fontId="4" fillId="0" borderId="5" xfId="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1" xfId="0" applyFont="1" applyFill="1" applyBorder="1" applyAlignment="1">
      <alignment horizontal="left" vertical="center" wrapText="1"/>
    </xf>
    <xf numFmtId="2" fontId="4" fillId="0" borderId="4" xfId="8" applyNumberFormat="1" applyFont="1" applyFill="1" applyBorder="1" applyAlignment="1">
      <alignment horizontal="center" vertical="center" wrapText="1"/>
    </xf>
    <xf numFmtId="166" fontId="5" fillId="0" borderId="32" xfId="1" applyFont="1" applyFill="1" applyBorder="1" applyAlignment="1">
      <alignment vertical="center"/>
    </xf>
    <xf numFmtId="2" fontId="7" fillId="0" borderId="0" xfId="3" applyNumberFormat="1" applyFont="1" applyFill="1" applyBorder="1" applyAlignment="1">
      <alignment horizontal="center" vertical="top" wrapText="1"/>
    </xf>
    <xf numFmtId="0" fontId="4" fillId="0" borderId="0" xfId="3" applyFont="1" applyFill="1" applyBorder="1" applyAlignment="1">
      <alignment horizontal="left" vertical="top"/>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wrapText="1"/>
    </xf>
    <xf numFmtId="0" fontId="7" fillId="0" borderId="0" xfId="3" applyFont="1" applyFill="1" applyBorder="1" applyAlignment="1">
      <alignment horizontal="center" vertical="center" wrapText="1"/>
    </xf>
    <xf numFmtId="2" fontId="7" fillId="0" borderId="0" xfId="26" applyNumberFormat="1" applyFont="1" applyFill="1" applyBorder="1" applyAlignment="1">
      <alignment horizontal="center"/>
    </xf>
    <xf numFmtId="0" fontId="4" fillId="0" borderId="0" xfId="26" applyFont="1" applyFill="1" applyBorder="1" applyAlignment="1">
      <alignment horizontal="center" vertical="center" wrapText="1"/>
    </xf>
    <xf numFmtId="166" fontId="4" fillId="0" borderId="0" xfId="1" applyFont="1" applyFill="1" applyBorder="1" applyAlignment="1">
      <alignment horizontal="right" vertical="center" wrapText="1"/>
    </xf>
    <xf numFmtId="2" fontId="7" fillId="0" borderId="0" xfId="2" applyNumberFormat="1" applyFont="1" applyFill="1" applyBorder="1" applyAlignment="1">
      <alignment horizontal="center" vertical="top" wrapText="1"/>
    </xf>
    <xf numFmtId="0" fontId="4" fillId="0" borderId="0" xfId="2" applyFont="1" applyFill="1" applyBorder="1"/>
    <xf numFmtId="0" fontId="4" fillId="0" borderId="0" xfId="2" applyFont="1" applyFill="1" applyBorder="1" applyAlignment="1">
      <alignment horizontal="center" vertical="center" wrapText="1"/>
    </xf>
    <xf numFmtId="2" fontId="27" fillId="0" borderId="0" xfId="0" applyNumberFormat="1" applyFont="1" applyFill="1"/>
    <xf numFmtId="166" fontId="16" fillId="0" borderId="0" xfId="1" applyFont="1" applyFill="1" applyAlignment="1">
      <alignment horizontal="center" vertical="center"/>
    </xf>
    <xf numFmtId="166" fontId="16" fillId="0" borderId="0" xfId="1" applyFont="1" applyFill="1" applyAlignment="1">
      <alignment vertical="center"/>
    </xf>
    <xf numFmtId="2" fontId="7" fillId="0" borderId="9" xfId="3" applyNumberFormat="1"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9" xfId="3" applyFont="1" applyFill="1" applyBorder="1" applyAlignment="1">
      <alignment horizontal="center" vertical="center" wrapText="1"/>
    </xf>
    <xf numFmtId="0" fontId="7" fillId="0" borderId="17" xfId="3" applyFont="1" applyFill="1" applyBorder="1" applyAlignment="1">
      <alignment horizontal="center" vertical="center"/>
    </xf>
    <xf numFmtId="2" fontId="4" fillId="0" borderId="17" xfId="8" applyNumberFormat="1" applyFont="1" applyFill="1" applyBorder="1" applyAlignment="1">
      <alignment horizontal="center" vertical="center" wrapText="1"/>
    </xf>
    <xf numFmtId="165" fontId="4" fillId="0" borderId="17" xfId="8" applyFont="1" applyFill="1" applyBorder="1" applyAlignment="1">
      <alignment horizontal="left" vertical="top" wrapText="1"/>
    </xf>
    <xf numFmtId="0" fontId="4" fillId="0" borderId="9" xfId="3" applyFont="1" applyFill="1" applyBorder="1" applyAlignment="1">
      <alignment horizontal="center" vertical="center" wrapText="1"/>
    </xf>
    <xf numFmtId="165" fontId="4" fillId="0" borderId="17" xfId="8" applyFont="1" applyFill="1" applyBorder="1" applyAlignment="1">
      <alignment horizontal="left" vertical="center" wrapText="1"/>
    </xf>
    <xf numFmtId="2" fontId="4" fillId="0" borderId="9" xfId="3" applyNumberFormat="1" applyFont="1" applyFill="1" applyBorder="1" applyAlignment="1">
      <alignment horizontal="center" vertical="center" wrapText="1"/>
    </xf>
    <xf numFmtId="0" fontId="4" fillId="0" borderId="9" xfId="3" applyFont="1" applyFill="1" applyBorder="1" applyAlignment="1">
      <alignment horizontal="left" vertical="center" wrapText="1"/>
    </xf>
    <xf numFmtId="0" fontId="4" fillId="0" borderId="9" xfId="3" applyFont="1" applyFill="1" applyBorder="1" applyAlignment="1">
      <alignment horizontal="left" vertical="center"/>
    </xf>
    <xf numFmtId="1" fontId="4" fillId="0" borderId="9" xfId="3" applyNumberFormat="1" applyFont="1" applyFill="1" applyBorder="1" applyAlignment="1">
      <alignment horizontal="center" vertical="center" wrapText="1"/>
    </xf>
    <xf numFmtId="167" fontId="7" fillId="0" borderId="4" xfId="8" applyNumberFormat="1" applyFont="1" applyFill="1" applyBorder="1" applyAlignment="1">
      <alignment horizontal="center" vertical="center" wrapText="1"/>
    </xf>
    <xf numFmtId="0" fontId="12" fillId="0" borderId="4" xfId="0" applyFont="1" applyFill="1" applyBorder="1" applyAlignment="1">
      <alignment horizontal="left" vertical="center"/>
    </xf>
    <xf numFmtId="0" fontId="12" fillId="0" borderId="35" xfId="0" applyFont="1" applyFill="1" applyBorder="1" applyAlignment="1">
      <alignment horizontal="left" vertical="center"/>
    </xf>
    <xf numFmtId="165" fontId="10" fillId="0" borderId="4" xfId="8" applyFont="1" applyFill="1" applyBorder="1" applyAlignment="1">
      <alignment horizontal="left" vertical="center" wrapText="1"/>
    </xf>
    <xf numFmtId="0" fontId="7" fillId="0" borderId="4" xfId="3" applyFont="1" applyFill="1" applyBorder="1" applyAlignment="1">
      <alignment horizontal="center" vertical="center"/>
    </xf>
    <xf numFmtId="0" fontId="7" fillId="0" borderId="4" xfId="3" applyFont="1" applyFill="1" applyBorder="1" applyAlignment="1">
      <alignment horizontal="center" vertical="center" wrapText="1"/>
    </xf>
    <xf numFmtId="0" fontId="16" fillId="0" borderId="0" xfId="0" applyFont="1" applyFill="1" applyBorder="1" applyAlignment="1">
      <alignment horizontal="center" vertical="center"/>
    </xf>
    <xf numFmtId="2" fontId="14" fillId="0" borderId="4" xfId="8" applyNumberFormat="1" applyFont="1" applyFill="1" applyBorder="1" applyAlignment="1">
      <alignment horizontal="center" vertical="center" wrapText="1"/>
    </xf>
    <xf numFmtId="165" fontId="4" fillId="0" borderId="4" xfId="8" applyFont="1" applyFill="1" applyBorder="1" applyAlignment="1">
      <alignment horizontal="left" vertical="center" wrapText="1"/>
    </xf>
    <xf numFmtId="0" fontId="12" fillId="0" borderId="5" xfId="0" applyFont="1" applyFill="1" applyBorder="1" applyAlignment="1">
      <alignment horizontal="left" vertical="center" wrapText="1"/>
    </xf>
    <xf numFmtId="2" fontId="5" fillId="0" borderId="5" xfId="0" applyNumberFormat="1" applyFont="1" applyFill="1" applyBorder="1" applyAlignment="1">
      <alignment horizontal="center" vertical="center" wrapText="1"/>
    </xf>
    <xf numFmtId="0" fontId="4" fillId="0" borderId="5" xfId="0" quotePrefix="1" applyFont="1" applyFill="1" applyBorder="1" applyAlignment="1">
      <alignment horizontal="center" vertical="center" wrapText="1"/>
    </xf>
    <xf numFmtId="166" fontId="16" fillId="0" borderId="0" xfId="0" applyNumberFormat="1" applyFont="1" applyFill="1"/>
    <xf numFmtId="167" fontId="4" fillId="0" borderId="1" xfId="8"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164" fontId="7" fillId="0" borderId="32" xfId="1" applyNumberFormat="1" applyFont="1" applyFill="1" applyBorder="1" applyAlignment="1">
      <alignment horizontal="center" vertical="center" wrapText="1"/>
    </xf>
    <xf numFmtId="0" fontId="5" fillId="0" borderId="32" xfId="0" applyFont="1" applyBorder="1" applyAlignment="1">
      <alignment horizontal="left" vertical="top" wrapText="1"/>
    </xf>
    <xf numFmtId="2" fontId="5" fillId="0" borderId="31" xfId="0" applyNumberFormat="1" applyFont="1" applyBorder="1" applyAlignment="1">
      <alignment horizontal="center" vertical="center"/>
    </xf>
    <xf numFmtId="2" fontId="5" fillId="0" borderId="27" xfId="0" applyNumberFormat="1" applyFont="1" applyBorder="1" applyAlignment="1">
      <alignment horizontal="center" vertical="center"/>
    </xf>
    <xf numFmtId="2" fontId="5" fillId="0" borderId="28" xfId="0" applyNumberFormat="1" applyFont="1" applyBorder="1" applyAlignment="1">
      <alignment horizontal="center" vertical="center"/>
    </xf>
    <xf numFmtId="0" fontId="5" fillId="0" borderId="32" xfId="0" applyFont="1" applyBorder="1" applyAlignment="1">
      <alignment horizontal="center" vertical="center" wrapText="1"/>
    </xf>
    <xf numFmtId="2" fontId="16" fillId="0" borderId="31" xfId="0" applyNumberFormat="1" applyFont="1" applyBorder="1" applyAlignment="1">
      <alignment horizontal="center" vertical="center" wrapText="1"/>
    </xf>
    <xf numFmtId="2" fontId="16" fillId="0" borderId="27" xfId="0" applyNumberFormat="1" applyFont="1" applyBorder="1" applyAlignment="1">
      <alignment horizontal="center" vertical="center"/>
    </xf>
    <xf numFmtId="0" fontId="7" fillId="0" borderId="31"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166" fontId="7" fillId="0" borderId="31" xfId="1" applyFont="1" applyFill="1" applyBorder="1" applyAlignment="1">
      <alignment horizontal="center" vertical="center" wrapText="1"/>
    </xf>
    <xf numFmtId="166" fontId="7" fillId="0" borderId="27" xfId="1" applyFont="1" applyFill="1" applyBorder="1" applyAlignment="1">
      <alignment horizontal="center" vertical="center" wrapText="1"/>
    </xf>
    <xf numFmtId="166" fontId="7" fillId="0" borderId="28" xfId="1" applyFont="1" applyFill="1" applyBorder="1" applyAlignment="1">
      <alignment horizontal="center" vertical="center" wrapText="1"/>
    </xf>
    <xf numFmtId="0" fontId="7" fillId="0" borderId="31" xfId="0" applyFont="1" applyBorder="1" applyAlignment="1" applyProtection="1">
      <alignment horizontal="right" vertical="center" wrapText="1"/>
    </xf>
    <xf numFmtId="0" fontId="7" fillId="0" borderId="27" xfId="0" applyFont="1" applyBorder="1" applyAlignment="1" applyProtection="1">
      <alignment horizontal="right" vertical="center" wrapText="1"/>
    </xf>
    <xf numFmtId="0" fontId="7" fillId="0" borderId="28" xfId="0" applyFont="1" applyBorder="1" applyAlignment="1" applyProtection="1">
      <alignment horizontal="right" vertical="center" wrapText="1"/>
    </xf>
    <xf numFmtId="2" fontId="16" fillId="0" borderId="31" xfId="0" applyNumberFormat="1" applyFont="1" applyFill="1" applyBorder="1" applyAlignment="1">
      <alignment horizontal="center" vertical="center" wrapText="1"/>
    </xf>
    <xf numFmtId="2" fontId="16" fillId="0" borderId="27" xfId="0" applyNumberFormat="1" applyFont="1" applyFill="1" applyBorder="1" applyAlignment="1">
      <alignment horizontal="center" vertical="center"/>
    </xf>
    <xf numFmtId="0" fontId="7" fillId="0" borderId="31" xfId="0" applyFont="1" applyFill="1" applyBorder="1" applyAlignment="1" applyProtection="1">
      <alignment horizontal="right" vertical="center" wrapText="1"/>
    </xf>
    <xf numFmtId="0" fontId="7" fillId="0" borderId="27" xfId="0" applyFont="1" applyFill="1" applyBorder="1" applyAlignment="1" applyProtection="1">
      <alignment horizontal="right" vertical="center" wrapText="1"/>
    </xf>
    <xf numFmtId="0" fontId="7" fillId="0" borderId="28" xfId="0" applyFont="1" applyFill="1" applyBorder="1" applyAlignment="1" applyProtection="1">
      <alignment horizontal="right" vertical="center" wrapText="1"/>
    </xf>
    <xf numFmtId="0" fontId="7" fillId="0" borderId="31"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5" fillId="0" borderId="32" xfId="0" applyFont="1" applyFill="1" applyBorder="1" applyAlignment="1">
      <alignment horizontal="left" vertical="top" wrapText="1"/>
    </xf>
    <xf numFmtId="0" fontId="5" fillId="0" borderId="32" xfId="0" applyFont="1" applyFill="1" applyBorder="1" applyAlignment="1">
      <alignment horizontal="center" vertical="center" wrapText="1"/>
    </xf>
    <xf numFmtId="2" fontId="5" fillId="0" borderId="31" xfId="0" applyNumberFormat="1" applyFont="1" applyFill="1" applyBorder="1" applyAlignment="1">
      <alignment horizontal="center" vertical="center"/>
    </xf>
    <xf numFmtId="2" fontId="5" fillId="0" borderId="27" xfId="0" applyNumberFormat="1" applyFont="1" applyFill="1" applyBorder="1" applyAlignment="1">
      <alignment horizontal="center" vertical="center"/>
    </xf>
    <xf numFmtId="2" fontId="5" fillId="0" borderId="28" xfId="0" applyNumberFormat="1" applyFont="1" applyFill="1" applyBorder="1" applyAlignment="1">
      <alignment horizontal="center" vertical="center"/>
    </xf>
    <xf numFmtId="0" fontId="7" fillId="0" borderId="32" xfId="0" applyFont="1" applyFill="1" applyBorder="1" applyAlignment="1">
      <alignment horizontal="left" vertical="center" wrapText="1"/>
    </xf>
    <xf numFmtId="166" fontId="7" fillId="0" borderId="33" xfId="1" applyFont="1" applyFill="1" applyBorder="1" applyAlignment="1">
      <alignment horizontal="center" vertical="center" wrapText="1"/>
    </xf>
    <xf numFmtId="0" fontId="7" fillId="0" borderId="32" xfId="0" applyFont="1" applyBorder="1" applyAlignment="1">
      <alignment horizontal="left" vertical="center" wrapText="1"/>
    </xf>
    <xf numFmtId="166" fontId="7" fillId="0" borderId="31" xfId="1" applyFont="1" applyBorder="1" applyAlignment="1">
      <alignment horizontal="center" vertical="center" wrapText="1"/>
    </xf>
    <xf numFmtId="166" fontId="7" fillId="0" borderId="27" xfId="1" applyFont="1" applyBorder="1" applyAlignment="1">
      <alignment horizontal="center" vertical="center" wrapText="1"/>
    </xf>
    <xf numFmtId="166" fontId="7" fillId="0" borderId="28" xfId="1" applyFont="1" applyBorder="1" applyAlignment="1">
      <alignment horizontal="center" vertical="center" wrapText="1"/>
    </xf>
    <xf numFmtId="0" fontId="7" fillId="3" borderId="31" xfId="0" applyFont="1" applyFill="1" applyBorder="1" applyAlignment="1" applyProtection="1">
      <alignment horizontal="right" vertical="center" wrapText="1"/>
    </xf>
    <xf numFmtId="0" fontId="7" fillId="3" borderId="27" xfId="0" applyFont="1" applyFill="1" applyBorder="1" applyAlignment="1" applyProtection="1">
      <alignment horizontal="right" vertical="center" wrapText="1"/>
    </xf>
    <xf numFmtId="0" fontId="7" fillId="3" borderId="28" xfId="0" applyFont="1" applyFill="1" applyBorder="1" applyAlignment="1" applyProtection="1">
      <alignment horizontal="right" vertical="center" wrapText="1"/>
    </xf>
    <xf numFmtId="0" fontId="7" fillId="0" borderId="31"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66" fontId="7" fillId="0" borderId="32" xfId="1" applyFont="1" applyFill="1" applyBorder="1" applyAlignment="1">
      <alignment horizontal="center" vertical="center" wrapText="1"/>
    </xf>
    <xf numFmtId="2" fontId="16" fillId="0" borderId="23" xfId="0" applyNumberFormat="1" applyFont="1" applyBorder="1" applyAlignment="1">
      <alignment horizontal="center" vertical="center" wrapText="1"/>
    </xf>
    <xf numFmtId="2" fontId="16" fillId="0" borderId="24" xfId="0" applyNumberFormat="1" applyFont="1" applyBorder="1" applyAlignment="1">
      <alignment horizontal="center" vertical="center" wrapText="1"/>
    </xf>
    <xf numFmtId="3" fontId="15" fillId="0" borderId="26" xfId="10" applyNumberFormat="1" applyFont="1" applyFill="1" applyBorder="1" applyAlignment="1">
      <alignment horizontal="center" vertical="center"/>
    </xf>
    <xf numFmtId="3" fontId="15" fillId="0" borderId="29" xfId="10" applyNumberFormat="1" applyFont="1" applyFill="1" applyBorder="1" applyAlignment="1">
      <alignment horizontal="center" vertical="center"/>
    </xf>
    <xf numFmtId="0" fontId="15" fillId="0" borderId="23"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8" fillId="0" borderId="34" xfId="0" applyFont="1" applyFill="1" applyBorder="1" applyAlignment="1">
      <alignment vertical="center" wrapText="1"/>
    </xf>
    <xf numFmtId="0" fontId="18" fillId="0" borderId="19" xfId="0" applyFont="1" applyFill="1" applyBorder="1" applyAlignment="1">
      <alignment vertical="center" wrapText="1"/>
    </xf>
    <xf numFmtId="0" fontId="0" fillId="0" borderId="31" xfId="0" applyBorder="1" applyAlignment="1">
      <alignment horizontal="center"/>
    </xf>
    <xf numFmtId="0" fontId="0" fillId="0" borderId="27" xfId="0" applyBorder="1" applyAlignment="1">
      <alignment horizontal="center"/>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8" fillId="0" borderId="11" xfId="0" applyFont="1" applyFill="1" applyBorder="1" applyAlignment="1">
      <alignment vertical="center" wrapText="1"/>
    </xf>
    <xf numFmtId="0" fontId="18" fillId="0" borderId="15"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cellXfs>
  <cellStyles count="27">
    <cellStyle name="Comma" xfId="1" builtinId="3"/>
    <cellStyle name="Comma 10" xfId="9"/>
    <cellStyle name="Comma 2" xfId="7"/>
    <cellStyle name="Comma 2 2" xfId="10"/>
    <cellStyle name="Comma 3" xfId="5"/>
    <cellStyle name="Comma 4" xfId="8"/>
    <cellStyle name="Comma 5" xfId="19"/>
    <cellStyle name="Comma 6" xfId="24"/>
    <cellStyle name="Normal" xfId="0" builtinId="0"/>
    <cellStyle name="Normal 10" xfId="11"/>
    <cellStyle name="Normal 10 2" xfId="21"/>
    <cellStyle name="Normal 13" xfId="20"/>
    <cellStyle name="Normal 2" xfId="6"/>
    <cellStyle name="Normal 2 2" xfId="12"/>
    <cellStyle name="Normal 2 3" xfId="22"/>
    <cellStyle name="Normal 3" xfId="4"/>
    <cellStyle name="Normal 3 2" xfId="13"/>
    <cellStyle name="Normal 4" xfId="18"/>
    <cellStyle name="Normal 4 2" xfId="14"/>
    <cellStyle name="Normal 5" xfId="15"/>
    <cellStyle name="Normal_BOQ 10" xfId="25"/>
    <cellStyle name="Normal_EW-BOQ-Blank" xfId="26"/>
    <cellStyle name="Normal_Potable water P1-07 BOQ" xfId="2"/>
    <cellStyle name="Normal_Potable water P1-07 BOQ 2" xfId="3"/>
    <cellStyle name="Percent 2 2" xfId="16"/>
    <cellStyle name="Percent 3" xfId="17"/>
    <cellStyle name="常规_BUNGOMA REHABILITATION WORKS (BQ BR1-BR14)" xfId="23"/>
  </cellStyles>
  <dxfs count="0"/>
  <tableStyles count="0" defaultTableStyle="TableStyleMedium9" defaultPivotStyle="PivotStyleLight16"/>
  <colors>
    <mruColors>
      <color rgb="FFFFE285"/>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9</xdr:col>
      <xdr:colOff>171450</xdr:colOff>
      <xdr:row>0</xdr:row>
      <xdr:rowOff>47625</xdr:rowOff>
    </xdr:from>
    <xdr:to>
      <xdr:col>10</xdr:col>
      <xdr:colOff>666750</xdr:colOff>
      <xdr:row>0</xdr:row>
      <xdr:rowOff>562257</xdr:rowOff>
    </xdr:to>
    <xdr:pic>
      <xdr:nvPicPr>
        <xdr:cNvPr id="2" name="Picture 1"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58525" y="47625"/>
          <a:ext cx="1581150"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171450</xdr:colOff>
      <xdr:row>0</xdr:row>
      <xdr:rowOff>47625</xdr:rowOff>
    </xdr:from>
    <xdr:to>
      <xdr:col>10</xdr:col>
      <xdr:colOff>666750</xdr:colOff>
      <xdr:row>0</xdr:row>
      <xdr:rowOff>562257</xdr:rowOff>
    </xdr:to>
    <xdr:pic>
      <xdr:nvPicPr>
        <xdr:cNvPr id="4" name="Picture 3"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220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304799</xdr:colOff>
      <xdr:row>78</xdr:row>
      <xdr:rowOff>0</xdr:rowOff>
    </xdr:from>
    <xdr:ext cx="2714625" cy="466725"/>
    <xdr:sp macro="" textlink="">
      <xdr:nvSpPr>
        <xdr:cNvPr id="6" name="TextBox 5"/>
        <xdr:cNvSpPr txBox="1"/>
      </xdr:nvSpPr>
      <xdr:spPr>
        <a:xfrm>
          <a:off x="14868524" y="22707599"/>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666750</xdr:colOff>
      <xdr:row>0</xdr:row>
      <xdr:rowOff>562257</xdr:rowOff>
    </xdr:to>
    <xdr:pic>
      <xdr:nvPicPr>
        <xdr:cNvPr id="5" name="Picture 4"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220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57149</xdr:colOff>
      <xdr:row>136</xdr:row>
      <xdr:rowOff>0</xdr:rowOff>
    </xdr:from>
    <xdr:ext cx="1419225" cy="619126"/>
    <xdr:sp macro="" textlink="">
      <xdr:nvSpPr>
        <xdr:cNvPr id="2" name="TextBox 1"/>
        <xdr:cNvSpPr txBox="1"/>
      </xdr:nvSpPr>
      <xdr:spPr>
        <a:xfrm>
          <a:off x="14487524" y="10229850"/>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78</xdr:row>
      <xdr:rowOff>0</xdr:rowOff>
    </xdr:from>
    <xdr:ext cx="2714625" cy="466725"/>
    <xdr:sp macro="" textlink="">
      <xdr:nvSpPr>
        <xdr:cNvPr id="14" name="TextBox 13"/>
        <xdr:cNvSpPr txBox="1"/>
      </xdr:nvSpPr>
      <xdr:spPr>
        <a:xfrm>
          <a:off x="14735174" y="1769745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666750</xdr:colOff>
      <xdr:row>0</xdr:row>
      <xdr:rowOff>562257</xdr:rowOff>
    </xdr:to>
    <xdr:pic>
      <xdr:nvPicPr>
        <xdr:cNvPr id="15" name="Picture 14"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57149</xdr:colOff>
      <xdr:row>32</xdr:row>
      <xdr:rowOff>0</xdr:rowOff>
    </xdr:from>
    <xdr:ext cx="1419225" cy="619126"/>
    <xdr:sp macro="" textlink="">
      <xdr:nvSpPr>
        <xdr:cNvPr id="2" name="TextBox 1"/>
        <xdr:cNvSpPr txBox="1"/>
      </xdr:nvSpPr>
      <xdr:spPr>
        <a:xfrm>
          <a:off x="15297149" y="7553325"/>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68</xdr:row>
      <xdr:rowOff>0</xdr:rowOff>
    </xdr:from>
    <xdr:ext cx="2714625" cy="466725"/>
    <xdr:sp macro="" textlink="">
      <xdr:nvSpPr>
        <xdr:cNvPr id="3" name="TextBox 2"/>
        <xdr:cNvSpPr txBox="1"/>
      </xdr:nvSpPr>
      <xdr:spPr>
        <a:xfrm>
          <a:off x="15544799" y="1632585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666750</xdr:colOff>
      <xdr:row>0</xdr:row>
      <xdr:rowOff>562257</xdr:rowOff>
    </xdr:to>
    <xdr:pic>
      <xdr:nvPicPr>
        <xdr:cNvPr id="4" name="Picture 3"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15850" y="47625"/>
          <a:ext cx="1619250"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304799</xdr:colOff>
      <xdr:row>50</xdr:row>
      <xdr:rowOff>0</xdr:rowOff>
    </xdr:from>
    <xdr:ext cx="2714625" cy="466725"/>
    <xdr:sp macro="" textlink="">
      <xdr:nvSpPr>
        <xdr:cNvPr id="5" name="TextBox 4"/>
        <xdr:cNvSpPr txBox="1"/>
      </xdr:nvSpPr>
      <xdr:spPr>
        <a:xfrm>
          <a:off x="15544799" y="12125325"/>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102</xdr:row>
      <xdr:rowOff>0</xdr:rowOff>
    </xdr:from>
    <xdr:ext cx="2714625" cy="466725"/>
    <xdr:sp macro="" textlink="">
      <xdr:nvSpPr>
        <xdr:cNvPr id="6" name="TextBox 5"/>
        <xdr:cNvSpPr txBox="1"/>
      </xdr:nvSpPr>
      <xdr:spPr>
        <a:xfrm>
          <a:off x="15544799" y="23441024"/>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89</xdr:row>
      <xdr:rowOff>0</xdr:rowOff>
    </xdr:from>
    <xdr:ext cx="2714625" cy="466725"/>
    <xdr:sp macro="" textlink="">
      <xdr:nvSpPr>
        <xdr:cNvPr id="7" name="TextBox 6"/>
        <xdr:cNvSpPr txBox="1"/>
      </xdr:nvSpPr>
      <xdr:spPr>
        <a:xfrm>
          <a:off x="15544799" y="1941195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102</xdr:row>
      <xdr:rowOff>0</xdr:rowOff>
    </xdr:from>
    <xdr:ext cx="2714625" cy="466725"/>
    <xdr:sp macro="" textlink="">
      <xdr:nvSpPr>
        <xdr:cNvPr id="8" name="TextBox 7"/>
        <xdr:cNvSpPr txBox="1"/>
      </xdr:nvSpPr>
      <xdr:spPr>
        <a:xfrm>
          <a:off x="15544799" y="2369820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123</xdr:row>
      <xdr:rowOff>0</xdr:rowOff>
    </xdr:from>
    <xdr:ext cx="2714625" cy="466725"/>
    <xdr:sp macro="" textlink="">
      <xdr:nvSpPr>
        <xdr:cNvPr id="9" name="TextBox 8"/>
        <xdr:cNvSpPr txBox="1"/>
      </xdr:nvSpPr>
      <xdr:spPr>
        <a:xfrm>
          <a:off x="15544799" y="2741295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74</xdr:row>
      <xdr:rowOff>0</xdr:rowOff>
    </xdr:from>
    <xdr:ext cx="2714625" cy="466725"/>
    <xdr:sp macro="" textlink="">
      <xdr:nvSpPr>
        <xdr:cNvPr id="14" name="TextBox 13"/>
        <xdr:cNvSpPr txBox="1"/>
      </xdr:nvSpPr>
      <xdr:spPr>
        <a:xfrm>
          <a:off x="15544799" y="21931313"/>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9</xdr:col>
      <xdr:colOff>171450</xdr:colOff>
      <xdr:row>0</xdr:row>
      <xdr:rowOff>47625</xdr:rowOff>
    </xdr:from>
    <xdr:to>
      <xdr:col>10</xdr:col>
      <xdr:colOff>666750</xdr:colOff>
      <xdr:row>0</xdr:row>
      <xdr:rowOff>562257</xdr:rowOff>
    </xdr:to>
    <xdr:pic>
      <xdr:nvPicPr>
        <xdr:cNvPr id="3" name="Picture 2"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304799</xdr:colOff>
      <xdr:row>75</xdr:row>
      <xdr:rowOff>0</xdr:rowOff>
    </xdr:from>
    <xdr:ext cx="2714625" cy="466725"/>
    <xdr:sp macro="" textlink="">
      <xdr:nvSpPr>
        <xdr:cNvPr id="4" name="TextBox 3"/>
        <xdr:cNvSpPr txBox="1"/>
      </xdr:nvSpPr>
      <xdr:spPr>
        <a:xfrm>
          <a:off x="8972549" y="11344274"/>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53</xdr:row>
      <xdr:rowOff>0</xdr:rowOff>
    </xdr:from>
    <xdr:ext cx="2714625" cy="466725"/>
    <xdr:sp macro="" textlink="">
      <xdr:nvSpPr>
        <xdr:cNvPr id="7" name="TextBox 6"/>
        <xdr:cNvSpPr txBox="1"/>
      </xdr:nvSpPr>
      <xdr:spPr>
        <a:xfrm>
          <a:off x="13973174" y="1756410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41</xdr:row>
      <xdr:rowOff>0</xdr:rowOff>
    </xdr:from>
    <xdr:ext cx="2714625" cy="466725"/>
    <xdr:sp macro="" textlink="">
      <xdr:nvSpPr>
        <xdr:cNvPr id="8" name="TextBox 7"/>
        <xdr:cNvSpPr txBox="1"/>
      </xdr:nvSpPr>
      <xdr:spPr>
        <a:xfrm>
          <a:off x="13973174" y="13411199"/>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57149</xdr:colOff>
      <xdr:row>76</xdr:row>
      <xdr:rowOff>0</xdr:rowOff>
    </xdr:from>
    <xdr:ext cx="1419225" cy="619126"/>
    <xdr:sp macro="" textlink="">
      <xdr:nvSpPr>
        <xdr:cNvPr id="10" name="TextBox 9"/>
        <xdr:cNvSpPr txBox="1"/>
      </xdr:nvSpPr>
      <xdr:spPr>
        <a:xfrm>
          <a:off x="13261180" y="9310688"/>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82</xdr:row>
      <xdr:rowOff>0</xdr:rowOff>
    </xdr:from>
    <xdr:ext cx="2714625" cy="466725"/>
    <xdr:sp macro="" textlink="">
      <xdr:nvSpPr>
        <xdr:cNvPr id="11" name="TextBox 10"/>
        <xdr:cNvSpPr txBox="1"/>
      </xdr:nvSpPr>
      <xdr:spPr>
        <a:xfrm>
          <a:off x="13508830" y="12549188"/>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223</xdr:row>
      <xdr:rowOff>0</xdr:rowOff>
    </xdr:from>
    <xdr:ext cx="2714625" cy="466725"/>
    <xdr:sp macro="" textlink="">
      <xdr:nvSpPr>
        <xdr:cNvPr id="12" name="TextBox 11"/>
        <xdr:cNvSpPr txBox="1"/>
      </xdr:nvSpPr>
      <xdr:spPr>
        <a:xfrm>
          <a:off x="14373224" y="1257300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57149</xdr:colOff>
      <xdr:row>46</xdr:row>
      <xdr:rowOff>0</xdr:rowOff>
    </xdr:from>
    <xdr:ext cx="1419225" cy="619126"/>
    <xdr:sp macro="" textlink="">
      <xdr:nvSpPr>
        <xdr:cNvPr id="2" name="TextBox 1"/>
        <xdr:cNvSpPr txBox="1"/>
      </xdr:nvSpPr>
      <xdr:spPr>
        <a:xfrm>
          <a:off x="14887574" y="6867525"/>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46</xdr:row>
      <xdr:rowOff>0</xdr:rowOff>
    </xdr:from>
    <xdr:ext cx="2714625" cy="466725"/>
    <xdr:sp macro="" textlink="">
      <xdr:nvSpPr>
        <xdr:cNvPr id="3" name="TextBox 2"/>
        <xdr:cNvSpPr txBox="1"/>
      </xdr:nvSpPr>
      <xdr:spPr>
        <a:xfrm>
          <a:off x="15135224" y="6867525"/>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60</xdr:row>
      <xdr:rowOff>0</xdr:rowOff>
    </xdr:from>
    <xdr:ext cx="2714625" cy="466725"/>
    <xdr:sp macro="" textlink="">
      <xdr:nvSpPr>
        <xdr:cNvPr id="5" name="TextBox 4"/>
        <xdr:cNvSpPr txBox="1"/>
      </xdr:nvSpPr>
      <xdr:spPr>
        <a:xfrm>
          <a:off x="15135224" y="8239125"/>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559594</xdr:colOff>
      <xdr:row>0</xdr:row>
      <xdr:rowOff>562257</xdr:rowOff>
    </xdr:to>
    <xdr:pic>
      <xdr:nvPicPr>
        <xdr:cNvPr id="8" name="Picture 7"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4263" y="47625"/>
          <a:ext cx="1745456"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85724</xdr:colOff>
      <xdr:row>0</xdr:row>
      <xdr:rowOff>38100</xdr:rowOff>
    </xdr:from>
    <xdr:to>
      <xdr:col>2</xdr:col>
      <xdr:colOff>1381123</xdr:colOff>
      <xdr:row>0</xdr:row>
      <xdr:rowOff>552732</xdr:rowOff>
    </xdr:to>
    <xdr:pic>
      <xdr:nvPicPr>
        <xdr:cNvPr id="3" name="Picture 2"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8787" y="38100"/>
          <a:ext cx="1295399"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zoomScaleNormal="100" zoomScaleSheetLayoutView="100" workbookViewId="0">
      <pane ySplit="1" topLeftCell="A2" activePane="bottomLeft" state="frozen"/>
      <selection pane="bottomLeft" sqref="A1:I1"/>
    </sheetView>
  </sheetViews>
  <sheetFormatPr defaultColWidth="9.140625" defaultRowHeight="14.25"/>
  <cols>
    <col min="1" max="1" width="10.5703125" style="18" customWidth="1"/>
    <col min="2" max="2" width="64" style="9" customWidth="1"/>
    <col min="3" max="3" width="9.7109375" style="45" customWidth="1"/>
    <col min="4" max="4" width="10.7109375" style="181" hidden="1" customWidth="1"/>
    <col min="5" max="5" width="17.85546875" style="181" hidden="1" customWidth="1"/>
    <col min="6" max="6" width="10.7109375" style="181" hidden="1" customWidth="1"/>
    <col min="7" max="7" width="4.28515625" style="181" hidden="1" customWidth="1"/>
    <col min="8" max="8" width="24.7109375" style="181" hidden="1" customWidth="1"/>
    <col min="9" max="9" width="10.7109375" style="45" customWidth="1"/>
    <col min="10" max="10" width="16.28515625" style="9" customWidth="1"/>
    <col min="11" max="11" width="14.7109375" style="9" customWidth="1"/>
    <col min="12" max="12" width="19.85546875" style="7" bestFit="1" customWidth="1"/>
    <col min="13" max="14" width="10.85546875" style="7" bestFit="1" customWidth="1"/>
    <col min="15" max="16384" width="9.140625" style="7"/>
  </cols>
  <sheetData>
    <row r="1" spans="1:11" ht="48.75" customHeight="1">
      <c r="A1" s="407" t="s">
        <v>80</v>
      </c>
      <c r="B1" s="408"/>
      <c r="C1" s="408"/>
      <c r="D1" s="408"/>
      <c r="E1" s="408"/>
      <c r="F1" s="408"/>
      <c r="G1" s="408"/>
      <c r="H1" s="408"/>
      <c r="I1" s="408"/>
      <c r="J1" s="90"/>
      <c r="K1" s="91"/>
    </row>
    <row r="2" spans="1:11" ht="14.25" customHeight="1">
      <c r="A2" s="409" t="s">
        <v>392</v>
      </c>
      <c r="B2" s="410"/>
      <c r="C2" s="410"/>
      <c r="D2" s="410"/>
      <c r="E2" s="410"/>
      <c r="F2" s="410"/>
      <c r="G2" s="410"/>
      <c r="H2" s="410"/>
      <c r="I2" s="410"/>
      <c r="J2" s="410"/>
      <c r="K2" s="411"/>
    </row>
    <row r="3" spans="1:11" ht="31.5" customHeight="1">
      <c r="A3" s="93" t="s">
        <v>0</v>
      </c>
      <c r="B3" s="94" t="s">
        <v>1</v>
      </c>
      <c r="C3" s="69" t="s">
        <v>2</v>
      </c>
      <c r="D3" s="412" t="s">
        <v>29</v>
      </c>
      <c r="E3" s="413"/>
      <c r="F3" s="413"/>
      <c r="G3" s="413"/>
      <c r="H3" s="414"/>
      <c r="I3" s="69" t="s">
        <v>79</v>
      </c>
      <c r="J3" s="69" t="s">
        <v>4</v>
      </c>
      <c r="K3" s="69" t="s">
        <v>5</v>
      </c>
    </row>
    <row r="4" spans="1:11" ht="20.25" customHeight="1">
      <c r="A4" s="70"/>
      <c r="B4" s="88"/>
      <c r="C4" s="71"/>
      <c r="D4" s="176"/>
      <c r="E4" s="176"/>
      <c r="F4" s="176"/>
      <c r="G4" s="176"/>
      <c r="H4" s="176"/>
      <c r="I4" s="71"/>
      <c r="J4" s="77"/>
      <c r="K4" s="77"/>
    </row>
    <row r="5" spans="1:11" s="9" customFormat="1">
      <c r="A5" s="72">
        <v>1</v>
      </c>
      <c r="B5" s="73" t="s">
        <v>388</v>
      </c>
      <c r="C5" s="74"/>
      <c r="D5" s="174"/>
      <c r="E5" s="174"/>
      <c r="F5" s="142"/>
      <c r="G5" s="142"/>
      <c r="H5" s="142"/>
      <c r="I5" s="74"/>
      <c r="J5" s="76"/>
      <c r="K5" s="77"/>
    </row>
    <row r="6" spans="1:11" s="9" customFormat="1" ht="15">
      <c r="A6" s="80"/>
      <c r="B6" s="73"/>
      <c r="C6" s="74"/>
      <c r="D6" s="174"/>
      <c r="E6" s="174"/>
      <c r="F6" s="142"/>
      <c r="G6" s="142"/>
      <c r="H6" s="142"/>
      <c r="I6" s="74"/>
      <c r="J6" s="76"/>
      <c r="K6" s="77"/>
    </row>
    <row r="7" spans="1:11" s="9" customFormat="1" ht="63.75">
      <c r="A7" s="81">
        <v>1.1000000000000001</v>
      </c>
      <c r="B7" s="82" t="s">
        <v>389</v>
      </c>
      <c r="C7" s="83" t="s">
        <v>180</v>
      </c>
      <c r="D7" s="142"/>
      <c r="E7" s="142"/>
      <c r="F7" s="142"/>
      <c r="G7" s="142"/>
      <c r="H7" s="142"/>
      <c r="I7" s="83" t="s">
        <v>104</v>
      </c>
      <c r="J7" s="76"/>
      <c r="K7" s="77">
        <f>J7</f>
        <v>0</v>
      </c>
    </row>
    <row r="8" spans="1:11" s="9" customFormat="1">
      <c r="A8" s="87"/>
      <c r="B8" s="85"/>
      <c r="C8" s="86"/>
      <c r="D8" s="148"/>
      <c r="E8" s="148"/>
      <c r="F8" s="148"/>
      <c r="G8" s="148"/>
      <c r="H8" s="148"/>
      <c r="I8" s="86"/>
      <c r="J8" s="83"/>
      <c r="K8" s="77"/>
    </row>
    <row r="9" spans="1:11" s="9" customFormat="1" ht="25.5">
      <c r="A9" s="81">
        <v>1.2</v>
      </c>
      <c r="B9" s="82" t="s">
        <v>391</v>
      </c>
      <c r="C9" s="83" t="s">
        <v>390</v>
      </c>
      <c r="D9" s="175"/>
      <c r="E9" s="175"/>
      <c r="F9" s="175"/>
      <c r="G9" s="144"/>
      <c r="H9" s="183"/>
      <c r="I9" s="209">
        <f>K7</f>
        <v>0</v>
      </c>
      <c r="J9" s="240"/>
      <c r="K9" s="77">
        <f>I9*J9</f>
        <v>0</v>
      </c>
    </row>
    <row r="10" spans="1:11" s="9" customFormat="1">
      <c r="A10" s="81"/>
      <c r="B10" s="85"/>
      <c r="C10" s="74"/>
      <c r="D10" s="142"/>
      <c r="E10" s="142"/>
      <c r="F10" s="142"/>
      <c r="G10" s="142"/>
      <c r="H10" s="142"/>
      <c r="I10" s="74"/>
      <c r="J10" s="76"/>
      <c r="K10" s="77"/>
    </row>
    <row r="11" spans="1:11" s="9" customFormat="1" ht="51">
      <c r="A11" s="81">
        <v>1.3</v>
      </c>
      <c r="B11" s="82" t="s">
        <v>393</v>
      </c>
      <c r="C11" s="83" t="s">
        <v>180</v>
      </c>
      <c r="D11" s="142"/>
      <c r="E11" s="142"/>
      <c r="F11" s="142"/>
      <c r="G11" s="142"/>
      <c r="H11" s="142"/>
      <c r="I11" s="83" t="s">
        <v>104</v>
      </c>
      <c r="J11" s="76"/>
      <c r="K11" s="77">
        <f>J11</f>
        <v>0</v>
      </c>
    </row>
    <row r="12" spans="1:11" s="9" customFormat="1">
      <c r="A12" s="81"/>
      <c r="B12" s="82"/>
      <c r="C12" s="83"/>
      <c r="D12" s="175"/>
      <c r="E12" s="175"/>
      <c r="F12" s="175"/>
      <c r="G12" s="144"/>
      <c r="H12" s="144"/>
      <c r="I12" s="83"/>
      <c r="J12" s="82"/>
      <c r="K12" s="77"/>
    </row>
    <row r="13" spans="1:11" s="92" customFormat="1" ht="15">
      <c r="A13" s="415" t="s">
        <v>91</v>
      </c>
      <c r="B13" s="416"/>
      <c r="C13" s="416"/>
      <c r="D13" s="416"/>
      <c r="E13" s="416"/>
      <c r="F13" s="416"/>
      <c r="G13" s="416"/>
      <c r="H13" s="416"/>
      <c r="I13" s="416"/>
      <c r="J13" s="417"/>
      <c r="K13" s="239">
        <f>SUM(K5:K12)</f>
        <v>0</v>
      </c>
    </row>
    <row r="14" spans="1:11" s="9" customFormat="1" ht="15" customHeight="1">
      <c r="A14" s="403"/>
      <c r="B14" s="404"/>
      <c r="C14" s="404"/>
      <c r="D14" s="404"/>
      <c r="E14" s="404"/>
      <c r="F14" s="404"/>
      <c r="G14" s="404"/>
      <c r="H14" s="404"/>
      <c r="I14" s="404"/>
      <c r="J14" s="404"/>
      <c r="K14" s="405"/>
    </row>
    <row r="15" spans="1:11" s="9" customFormat="1">
      <c r="A15" s="406" t="s">
        <v>88</v>
      </c>
      <c r="B15" s="406"/>
      <c r="C15" s="406"/>
      <c r="D15" s="406"/>
      <c r="E15" s="406"/>
      <c r="F15" s="406"/>
      <c r="G15" s="406"/>
      <c r="H15" s="406"/>
      <c r="I15" s="406"/>
      <c r="J15" s="406"/>
      <c r="K15" s="239">
        <f>K13</f>
        <v>0</v>
      </c>
    </row>
    <row r="16" spans="1:11" s="9" customFormat="1" ht="57" customHeight="1">
      <c r="A16" s="402" t="s">
        <v>163</v>
      </c>
      <c r="B16" s="402"/>
      <c r="C16" s="402"/>
      <c r="D16" s="402"/>
      <c r="E16" s="402"/>
      <c r="F16" s="402"/>
      <c r="G16" s="402"/>
      <c r="H16" s="402"/>
      <c r="I16" s="402"/>
      <c r="J16" s="402"/>
      <c r="K16" s="402"/>
    </row>
    <row r="18" spans="1:14" s="45" customFormat="1">
      <c r="A18" s="18"/>
      <c r="B18" s="47"/>
      <c r="D18" s="181"/>
      <c r="E18" s="181"/>
      <c r="F18" s="181"/>
      <c r="G18" s="181"/>
      <c r="H18" s="181"/>
      <c r="J18" s="9"/>
      <c r="K18" s="9"/>
      <c r="L18" s="7"/>
      <c r="M18" s="7"/>
      <c r="N18" s="7"/>
    </row>
  </sheetData>
  <mergeCells count="7">
    <mergeCell ref="A16:K16"/>
    <mergeCell ref="A14:K14"/>
    <mergeCell ref="A15:J15"/>
    <mergeCell ref="A1:I1"/>
    <mergeCell ref="A2:K2"/>
    <mergeCell ref="D3:H3"/>
    <mergeCell ref="A13:J13"/>
  </mergeCells>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77"/>
  <sheetViews>
    <sheetView zoomScaleNormal="100" zoomScaleSheetLayoutView="100" workbookViewId="0">
      <pane ySplit="1" topLeftCell="A2" activePane="bottomLeft" state="frozen"/>
      <selection pane="bottomLeft" sqref="A1:I1"/>
    </sheetView>
  </sheetViews>
  <sheetFormatPr defaultColWidth="9.140625" defaultRowHeight="14.25"/>
  <cols>
    <col min="1" max="1" width="10.5703125" style="276" customWidth="1"/>
    <col min="2" max="2" width="64" style="181" customWidth="1"/>
    <col min="3" max="3" width="9.7109375" style="278" customWidth="1"/>
    <col min="4" max="4" width="10.7109375" style="181" hidden="1" customWidth="1"/>
    <col min="5" max="5" width="17.85546875" style="181" hidden="1" customWidth="1"/>
    <col min="6" max="6" width="10.7109375" style="181" hidden="1" customWidth="1"/>
    <col min="7" max="7" width="4.28515625" style="181" hidden="1" customWidth="1"/>
    <col min="8" max="8" width="24.7109375" style="181" hidden="1" customWidth="1"/>
    <col min="9" max="9" width="10.7109375" style="278" customWidth="1"/>
    <col min="10" max="10" width="16.28515625" style="181" customWidth="1"/>
    <col min="11" max="11" width="14.7109375" style="181" customWidth="1"/>
    <col min="12" max="12" width="19.85546875" style="185" bestFit="1" customWidth="1"/>
    <col min="13" max="14" width="10.85546875" style="185" bestFit="1" customWidth="1"/>
    <col min="15" max="16384" width="9.140625" style="185"/>
  </cols>
  <sheetData>
    <row r="1" spans="1:11" ht="48.75" customHeight="1">
      <c r="A1" s="418" t="s">
        <v>80</v>
      </c>
      <c r="B1" s="419"/>
      <c r="C1" s="419"/>
      <c r="D1" s="419"/>
      <c r="E1" s="419"/>
      <c r="F1" s="419"/>
      <c r="G1" s="419"/>
      <c r="H1" s="419"/>
      <c r="I1" s="419"/>
      <c r="J1" s="241"/>
      <c r="K1" s="242"/>
    </row>
    <row r="2" spans="1:11" ht="14.25" customHeight="1">
      <c r="A2" s="423" t="s">
        <v>381</v>
      </c>
      <c r="B2" s="424"/>
      <c r="C2" s="424"/>
      <c r="D2" s="424"/>
      <c r="E2" s="424"/>
      <c r="F2" s="424"/>
      <c r="G2" s="424"/>
      <c r="H2" s="424"/>
      <c r="I2" s="424"/>
      <c r="J2" s="424"/>
      <c r="K2" s="425"/>
    </row>
    <row r="3" spans="1:11" ht="31.5" customHeight="1">
      <c r="A3" s="243" t="s">
        <v>0</v>
      </c>
      <c r="B3" s="244" t="s">
        <v>1</v>
      </c>
      <c r="C3" s="245" t="s">
        <v>2</v>
      </c>
      <c r="D3" s="412" t="s">
        <v>29</v>
      </c>
      <c r="E3" s="413"/>
      <c r="F3" s="413"/>
      <c r="G3" s="413"/>
      <c r="H3" s="414"/>
      <c r="I3" s="245" t="s">
        <v>79</v>
      </c>
      <c r="J3" s="245" t="s">
        <v>4</v>
      </c>
      <c r="K3" s="245" t="s">
        <v>5</v>
      </c>
    </row>
    <row r="4" spans="1:11" ht="20.25" customHeight="1">
      <c r="A4" s="246"/>
      <c r="B4" s="149"/>
      <c r="C4" s="176"/>
      <c r="D4" s="176"/>
      <c r="E4" s="176"/>
      <c r="F4" s="176"/>
      <c r="G4" s="176"/>
      <c r="H4" s="176"/>
      <c r="I4" s="176"/>
      <c r="J4" s="173"/>
      <c r="K4" s="173"/>
    </row>
    <row r="5" spans="1:11" s="181" customFormat="1">
      <c r="A5" s="247">
        <v>1</v>
      </c>
      <c r="B5" s="248" t="s">
        <v>7</v>
      </c>
      <c r="C5" s="172"/>
      <c r="D5" s="174">
        <v>8.4</v>
      </c>
      <c r="E5" s="174">
        <v>8.1</v>
      </c>
      <c r="F5" s="142"/>
      <c r="G5" s="142"/>
      <c r="H5" s="142" t="s">
        <v>283</v>
      </c>
      <c r="I5" s="172"/>
      <c r="J5" s="150"/>
      <c r="K5" s="173"/>
    </row>
    <row r="6" spans="1:11" s="181" customFormat="1" ht="15">
      <c r="A6" s="249"/>
      <c r="B6" s="248"/>
      <c r="C6" s="172"/>
      <c r="D6" s="174">
        <v>1.2</v>
      </c>
      <c r="E6" s="174">
        <v>1.4</v>
      </c>
      <c r="F6" s="142"/>
      <c r="G6" s="142"/>
      <c r="H6" s="142"/>
      <c r="I6" s="172"/>
      <c r="J6" s="150"/>
      <c r="K6" s="173"/>
    </row>
    <row r="7" spans="1:11" s="181" customFormat="1" ht="38.25">
      <c r="A7" s="171"/>
      <c r="B7" s="144" t="s">
        <v>117</v>
      </c>
      <c r="C7" s="145"/>
      <c r="D7" s="142"/>
      <c r="E7" s="142">
        <v>7.4</v>
      </c>
      <c r="F7" s="142"/>
      <c r="G7" s="142"/>
      <c r="H7" s="142"/>
      <c r="I7" s="145"/>
      <c r="J7" s="145"/>
      <c r="K7" s="173"/>
    </row>
    <row r="8" spans="1:11" s="181" customFormat="1">
      <c r="A8" s="171"/>
      <c r="B8" s="144"/>
      <c r="C8" s="145"/>
      <c r="D8" s="174">
        <v>6.9</v>
      </c>
      <c r="E8" s="174">
        <v>7.4</v>
      </c>
      <c r="F8" s="144"/>
      <c r="G8" s="144"/>
      <c r="H8" s="142" t="s">
        <v>320</v>
      </c>
      <c r="I8" s="145"/>
      <c r="J8" s="145"/>
      <c r="K8" s="173"/>
    </row>
    <row r="9" spans="1:11" s="181" customFormat="1">
      <c r="A9" s="247">
        <v>1.1000000000000001</v>
      </c>
      <c r="B9" s="248" t="s">
        <v>133</v>
      </c>
      <c r="C9" s="145"/>
      <c r="D9" s="174">
        <v>4.45</v>
      </c>
      <c r="E9" s="174">
        <v>0.9</v>
      </c>
      <c r="F9" s="144"/>
      <c r="G9" s="144"/>
      <c r="H9" s="144"/>
      <c r="I9" s="145"/>
      <c r="J9" s="145"/>
      <c r="K9" s="173"/>
    </row>
    <row r="10" spans="1:11" s="181" customFormat="1">
      <c r="A10" s="171"/>
      <c r="B10" s="144"/>
      <c r="C10" s="145"/>
      <c r="D10" s="144"/>
      <c r="E10" s="144"/>
      <c r="F10" s="144"/>
      <c r="G10" s="144"/>
      <c r="H10" s="144"/>
      <c r="I10" s="145"/>
      <c r="J10" s="145"/>
      <c r="K10" s="173"/>
    </row>
    <row r="11" spans="1:11" s="181" customFormat="1" ht="38.25">
      <c r="A11" s="171">
        <v>1.1100000000000001</v>
      </c>
      <c r="B11" s="144" t="s">
        <v>356</v>
      </c>
      <c r="C11" s="145" t="s">
        <v>33</v>
      </c>
      <c r="D11" s="142">
        <f>(D5+D8)+0.4</f>
        <v>15.700000000000001</v>
      </c>
      <c r="E11" s="142">
        <f>E5+0.4</f>
        <v>8.5</v>
      </c>
      <c r="F11" s="145">
        <f>(D8-D9)*E9</f>
        <v>2.2050000000000001</v>
      </c>
      <c r="G11" s="144"/>
      <c r="H11" s="144" t="s">
        <v>108</v>
      </c>
      <c r="I11" s="211">
        <f>((D11*E11)-F11)+D12</f>
        <v>133.76500000000001</v>
      </c>
      <c r="J11" s="145"/>
      <c r="K11" s="173">
        <f>I11*J11</f>
        <v>0</v>
      </c>
    </row>
    <row r="12" spans="1:11" s="181" customFormat="1">
      <c r="A12" s="171"/>
      <c r="B12" s="144"/>
      <c r="C12" s="145"/>
      <c r="D12" s="144">
        <f>(D6+0.2)*(E6+0.4)</f>
        <v>2.5199999999999996</v>
      </c>
      <c r="E12" s="144"/>
      <c r="F12" s="144"/>
      <c r="G12" s="144"/>
      <c r="H12" s="144"/>
      <c r="I12" s="145"/>
      <c r="J12" s="145"/>
      <c r="K12" s="173"/>
    </row>
    <row r="13" spans="1:11" s="181" customFormat="1">
      <c r="A13" s="247">
        <v>1.2</v>
      </c>
      <c r="B13" s="248" t="s">
        <v>134</v>
      </c>
      <c r="C13" s="145"/>
      <c r="D13" s="144"/>
      <c r="E13" s="144"/>
      <c r="F13" s="144"/>
      <c r="G13" s="144"/>
      <c r="H13" s="144"/>
      <c r="I13" s="145"/>
      <c r="J13" s="145"/>
      <c r="K13" s="173"/>
    </row>
    <row r="14" spans="1:11" s="181" customFormat="1">
      <c r="A14" s="171"/>
      <c r="B14" s="144"/>
      <c r="C14" s="145"/>
      <c r="D14" s="144"/>
      <c r="E14" s="144"/>
      <c r="F14" s="144"/>
      <c r="G14" s="144"/>
      <c r="H14" s="144"/>
      <c r="I14" s="145"/>
      <c r="J14" s="145"/>
      <c r="K14" s="173"/>
    </row>
    <row r="15" spans="1:11" s="181" customFormat="1" ht="38.25">
      <c r="A15" s="171"/>
      <c r="B15" s="144" t="s">
        <v>234</v>
      </c>
      <c r="C15" s="145"/>
      <c r="D15" s="144"/>
      <c r="E15" s="144"/>
      <c r="F15" s="144"/>
      <c r="G15" s="144"/>
      <c r="H15" s="144"/>
      <c r="I15" s="145"/>
      <c r="J15" s="145"/>
      <c r="K15" s="173"/>
    </row>
    <row r="16" spans="1:11" s="181" customFormat="1">
      <c r="A16" s="171"/>
      <c r="B16" s="144"/>
      <c r="C16" s="145"/>
      <c r="D16" s="144"/>
      <c r="E16" s="144"/>
      <c r="F16" s="144"/>
      <c r="G16" s="144"/>
      <c r="H16" s="144"/>
      <c r="I16" s="145"/>
      <c r="J16" s="145"/>
      <c r="K16" s="173"/>
    </row>
    <row r="17" spans="1:11" s="181" customFormat="1" ht="15.75">
      <c r="A17" s="171">
        <v>1.21</v>
      </c>
      <c r="B17" s="144" t="s">
        <v>361</v>
      </c>
      <c r="C17" s="145" t="s">
        <v>30</v>
      </c>
      <c r="D17" s="142"/>
      <c r="E17" s="144">
        <f>((0.35+0.2+0.3)+(0.35+0.1+0.3))/2</f>
        <v>0.8</v>
      </c>
      <c r="G17" s="144"/>
      <c r="H17" s="183"/>
      <c r="I17" s="211">
        <f>I11*E17</f>
        <v>107.01200000000001</v>
      </c>
      <c r="J17" s="145"/>
      <c r="K17" s="173">
        <f>I17*J17</f>
        <v>0</v>
      </c>
    </row>
    <row r="18" spans="1:11" s="181" customFormat="1">
      <c r="A18" s="171"/>
      <c r="B18" s="144"/>
      <c r="C18" s="145"/>
      <c r="D18" s="144"/>
      <c r="F18" s="144"/>
      <c r="G18" s="144"/>
      <c r="H18" s="144"/>
      <c r="I18" s="145"/>
      <c r="J18" s="145"/>
      <c r="K18" s="173"/>
    </row>
    <row r="19" spans="1:11" s="181" customFormat="1" ht="38.25" customHeight="1">
      <c r="A19" s="250">
        <v>1.22</v>
      </c>
      <c r="B19" s="144" t="s">
        <v>239</v>
      </c>
      <c r="C19" s="145" t="s">
        <v>30</v>
      </c>
      <c r="D19" s="144"/>
      <c r="E19" s="144"/>
      <c r="F19" s="144"/>
      <c r="G19" s="144"/>
      <c r="H19" s="183" t="s">
        <v>99</v>
      </c>
      <c r="I19" s="251">
        <f>(0.25*I11)+(30%*I17)</f>
        <v>65.544849999999997</v>
      </c>
      <c r="J19" s="145"/>
      <c r="K19" s="173">
        <f>I19*J19</f>
        <v>0</v>
      </c>
    </row>
    <row r="20" spans="1:11" s="181" customFormat="1">
      <c r="A20" s="171"/>
      <c r="B20" s="144"/>
      <c r="C20" s="145"/>
      <c r="D20" s="144"/>
      <c r="E20" s="144"/>
      <c r="F20" s="144"/>
      <c r="G20" s="144"/>
      <c r="H20" s="144"/>
      <c r="I20" s="145"/>
      <c r="J20" s="145"/>
      <c r="K20" s="173"/>
    </row>
    <row r="21" spans="1:11" s="181" customFormat="1" ht="38.25">
      <c r="A21" s="252">
        <v>1.23</v>
      </c>
      <c r="B21" s="148" t="s">
        <v>263</v>
      </c>
      <c r="C21" s="223" t="s">
        <v>30</v>
      </c>
      <c r="D21" s="148"/>
      <c r="E21" s="148"/>
      <c r="F21" s="148"/>
      <c r="G21" s="148"/>
      <c r="H21" s="182" t="s">
        <v>155</v>
      </c>
      <c r="I21" s="227">
        <f>60%*I17</f>
        <v>64.2072</v>
      </c>
      <c r="J21" s="145"/>
      <c r="K21" s="173">
        <f>I21*J21</f>
        <v>0</v>
      </c>
    </row>
    <row r="22" spans="1:11" s="181" customFormat="1">
      <c r="A22" s="252"/>
      <c r="B22" s="148"/>
      <c r="C22" s="223"/>
      <c r="D22" s="148"/>
      <c r="E22" s="148"/>
      <c r="F22" s="148"/>
      <c r="G22" s="148"/>
      <c r="H22" s="148"/>
      <c r="I22" s="223"/>
      <c r="J22" s="145"/>
      <c r="K22" s="173"/>
    </row>
    <row r="23" spans="1:11" s="181" customFormat="1" ht="15.75">
      <c r="A23" s="252">
        <v>1.24</v>
      </c>
      <c r="B23" s="148" t="s">
        <v>31</v>
      </c>
      <c r="C23" s="223" t="s">
        <v>30</v>
      </c>
      <c r="D23" s="148"/>
      <c r="E23" s="148"/>
      <c r="F23" s="148"/>
      <c r="G23" s="148"/>
      <c r="H23" s="182" t="s">
        <v>114</v>
      </c>
      <c r="I23" s="227">
        <f>30%*I17</f>
        <v>32.1036</v>
      </c>
      <c r="J23" s="145"/>
      <c r="K23" s="173">
        <f>I23*J23</f>
        <v>0</v>
      </c>
    </row>
    <row r="24" spans="1:11" s="181" customFormat="1">
      <c r="A24" s="252"/>
      <c r="B24" s="148"/>
      <c r="C24" s="223"/>
      <c r="D24" s="148"/>
      <c r="E24" s="148"/>
      <c r="F24" s="148"/>
      <c r="G24" s="148"/>
      <c r="H24" s="148"/>
      <c r="I24" s="223"/>
      <c r="J24" s="145"/>
      <c r="K24" s="173"/>
    </row>
    <row r="25" spans="1:11" s="181" customFormat="1" ht="15.75">
      <c r="A25" s="252">
        <v>1.25</v>
      </c>
      <c r="B25" s="148" t="s">
        <v>32</v>
      </c>
      <c r="C25" s="223" t="s">
        <v>30</v>
      </c>
      <c r="D25" s="148"/>
      <c r="E25" s="148"/>
      <c r="F25" s="148"/>
      <c r="G25" s="148"/>
      <c r="H25" s="182" t="s">
        <v>154</v>
      </c>
      <c r="I25" s="227">
        <f>10%*I17</f>
        <v>10.701200000000002</v>
      </c>
      <c r="J25" s="145"/>
      <c r="K25" s="173">
        <f>I25*J25</f>
        <v>0</v>
      </c>
    </row>
    <row r="26" spans="1:11" s="181" customFormat="1">
      <c r="A26" s="253"/>
      <c r="B26" s="148"/>
      <c r="C26" s="223"/>
      <c r="D26" s="148"/>
      <c r="E26" s="148"/>
      <c r="F26" s="148"/>
      <c r="G26" s="148"/>
      <c r="H26" s="148"/>
      <c r="I26" s="223"/>
      <c r="J26" s="145"/>
      <c r="K26" s="173"/>
    </row>
    <row r="27" spans="1:11" s="181" customFormat="1">
      <c r="A27" s="253">
        <v>1.3</v>
      </c>
      <c r="B27" s="248" t="s">
        <v>135</v>
      </c>
      <c r="C27" s="223"/>
      <c r="D27" s="148"/>
      <c r="E27" s="148"/>
      <c r="F27" s="148"/>
      <c r="G27" s="148"/>
      <c r="H27" s="148"/>
      <c r="I27" s="223"/>
      <c r="J27" s="145"/>
      <c r="K27" s="173"/>
    </row>
    <row r="28" spans="1:11" s="181" customFormat="1">
      <c r="A28" s="253"/>
      <c r="B28" s="148"/>
      <c r="C28" s="223"/>
      <c r="D28" s="148"/>
      <c r="E28" s="148"/>
      <c r="F28" s="148"/>
      <c r="G28" s="148"/>
      <c r="H28" s="148"/>
      <c r="I28" s="223"/>
      <c r="J28" s="145"/>
      <c r="K28" s="173"/>
    </row>
    <row r="29" spans="1:11" s="181" customFormat="1" ht="25.5">
      <c r="A29" s="171">
        <v>1.31</v>
      </c>
      <c r="B29" s="144" t="s">
        <v>299</v>
      </c>
      <c r="C29" s="145" t="s">
        <v>30</v>
      </c>
      <c r="D29" s="175">
        <f>D5+0.4</f>
        <v>8.8000000000000007</v>
      </c>
      <c r="E29" s="175">
        <f>E5+0.4</f>
        <v>8.5</v>
      </c>
      <c r="F29" s="175">
        <v>0.3</v>
      </c>
      <c r="G29" s="144"/>
      <c r="H29" s="183" t="s">
        <v>321</v>
      </c>
      <c r="I29" s="211">
        <f>((D29*E29)+D30+E30)*F29</f>
        <v>24.397500000000001</v>
      </c>
      <c r="J29" s="145"/>
      <c r="K29" s="173">
        <f>I29*J29</f>
        <v>0</v>
      </c>
    </row>
    <row r="30" spans="1:11" s="181" customFormat="1">
      <c r="A30" s="171"/>
      <c r="B30" s="144"/>
      <c r="C30" s="145"/>
      <c r="D30" s="175">
        <f>D9*E9</f>
        <v>4.0049999999999999</v>
      </c>
      <c r="E30" s="175">
        <f>(D6+0.2)*(E6+0.4)</f>
        <v>2.5199999999999996</v>
      </c>
      <c r="F30" s="175"/>
      <c r="G30" s="144"/>
      <c r="H30" s="144"/>
      <c r="I30" s="145"/>
      <c r="J30" s="144"/>
      <c r="K30" s="173"/>
    </row>
    <row r="31" spans="1:11" s="181" customFormat="1" ht="25.5">
      <c r="A31" s="171">
        <v>1.32</v>
      </c>
      <c r="B31" s="144" t="s">
        <v>300</v>
      </c>
      <c r="C31" s="145" t="s">
        <v>30</v>
      </c>
      <c r="D31" s="148">
        <f>3*0.8*0.5</f>
        <v>1.2000000000000002</v>
      </c>
      <c r="E31" s="148">
        <f>(5*0.8*0.5)/2</f>
        <v>1</v>
      </c>
      <c r="F31" s="148">
        <f>4.25*0.8*0.5</f>
        <v>1.7000000000000002</v>
      </c>
      <c r="G31" s="148"/>
      <c r="H31" s="148"/>
      <c r="I31" s="223">
        <f>D31+E31+F31</f>
        <v>3.9000000000000004</v>
      </c>
      <c r="J31" s="145"/>
      <c r="K31" s="173">
        <f>I31*J31</f>
        <v>0</v>
      </c>
    </row>
    <row r="32" spans="1:11" s="181" customFormat="1">
      <c r="A32" s="171"/>
      <c r="B32" s="144"/>
      <c r="C32" s="145"/>
      <c r="D32" s="175"/>
      <c r="E32" s="175"/>
      <c r="F32" s="175"/>
      <c r="G32" s="144"/>
      <c r="H32" s="183"/>
      <c r="I32" s="211"/>
      <c r="J32" s="145"/>
      <c r="K32" s="173"/>
    </row>
    <row r="33" spans="1:11" s="255" customFormat="1" ht="15">
      <c r="A33" s="420" t="s">
        <v>91</v>
      </c>
      <c r="B33" s="421"/>
      <c r="C33" s="421"/>
      <c r="D33" s="421"/>
      <c r="E33" s="421"/>
      <c r="F33" s="421"/>
      <c r="G33" s="421"/>
      <c r="H33" s="421"/>
      <c r="I33" s="421"/>
      <c r="J33" s="422"/>
      <c r="K33" s="254">
        <f>SUM(K5:K31)</f>
        <v>0</v>
      </c>
    </row>
    <row r="34" spans="1:11" s="181" customFormat="1">
      <c r="A34" s="246"/>
      <c r="B34" s="149"/>
      <c r="C34" s="176"/>
      <c r="D34" s="176"/>
      <c r="E34" s="176"/>
      <c r="F34" s="176"/>
      <c r="G34" s="176"/>
      <c r="H34" s="176"/>
      <c r="I34" s="176"/>
      <c r="J34" s="173"/>
      <c r="K34" s="173"/>
    </row>
    <row r="35" spans="1:11" s="181" customFormat="1">
      <c r="A35" s="247">
        <v>2</v>
      </c>
      <c r="B35" s="248" t="s">
        <v>115</v>
      </c>
      <c r="C35" s="172"/>
      <c r="D35" s="142"/>
      <c r="E35" s="142"/>
      <c r="F35" s="142"/>
      <c r="G35" s="142"/>
      <c r="H35" s="142"/>
      <c r="I35" s="172"/>
      <c r="J35" s="150"/>
      <c r="K35" s="173"/>
    </row>
    <row r="36" spans="1:11" s="181" customFormat="1">
      <c r="A36" s="256"/>
      <c r="B36" s="257"/>
      <c r="C36" s="172"/>
      <c r="D36" s="142"/>
      <c r="E36" s="142"/>
      <c r="F36" s="142"/>
      <c r="G36" s="142"/>
      <c r="H36" s="142"/>
      <c r="I36" s="172"/>
      <c r="J36" s="150"/>
      <c r="K36" s="173"/>
    </row>
    <row r="37" spans="1:11" s="181" customFormat="1">
      <c r="A37" s="256">
        <v>2.1</v>
      </c>
      <c r="B37" s="258" t="s">
        <v>183</v>
      </c>
      <c r="C37" s="172"/>
      <c r="D37" s="142"/>
      <c r="E37" s="142"/>
      <c r="F37" s="142"/>
      <c r="G37" s="142"/>
      <c r="H37" s="142"/>
      <c r="I37" s="172"/>
      <c r="J37" s="150"/>
      <c r="K37" s="173"/>
    </row>
    <row r="38" spans="1:11" s="181" customFormat="1">
      <c r="A38" s="256"/>
      <c r="B38" s="148"/>
      <c r="C38" s="172"/>
      <c r="D38" s="142"/>
      <c r="E38" s="142"/>
      <c r="F38" s="142"/>
      <c r="G38" s="142"/>
      <c r="H38" s="142"/>
      <c r="I38" s="172"/>
      <c r="J38" s="150"/>
      <c r="K38" s="173"/>
    </row>
    <row r="39" spans="1:11" s="181" customFormat="1" ht="15.75">
      <c r="A39" s="223">
        <v>2.11</v>
      </c>
      <c r="B39" s="148" t="s">
        <v>265</v>
      </c>
      <c r="C39" s="172" t="s">
        <v>33</v>
      </c>
      <c r="D39" s="142"/>
      <c r="E39" s="142"/>
      <c r="F39" s="142"/>
      <c r="G39" s="142"/>
      <c r="H39" s="142" t="s">
        <v>322</v>
      </c>
      <c r="I39" s="210">
        <f>I29/0.3</f>
        <v>81.325000000000003</v>
      </c>
      <c r="J39" s="150"/>
      <c r="K39" s="173">
        <f>I39*J39</f>
        <v>0</v>
      </c>
    </row>
    <row r="40" spans="1:11" s="181" customFormat="1">
      <c r="A40" s="171"/>
      <c r="B40" s="148"/>
      <c r="C40" s="172"/>
      <c r="D40" s="142"/>
      <c r="E40" s="142"/>
      <c r="F40" s="142"/>
      <c r="G40" s="142"/>
      <c r="H40" s="142"/>
      <c r="I40" s="172"/>
      <c r="J40" s="150"/>
      <c r="K40" s="173"/>
    </row>
    <row r="41" spans="1:11" s="181" customFormat="1">
      <c r="A41" s="247">
        <v>2.2000000000000002</v>
      </c>
      <c r="B41" s="248" t="s">
        <v>44</v>
      </c>
      <c r="C41" s="172"/>
      <c r="D41" s="142"/>
      <c r="E41" s="142"/>
      <c r="F41" s="142"/>
      <c r="G41" s="142"/>
      <c r="H41" s="142"/>
      <c r="I41" s="172"/>
      <c r="J41" s="150"/>
      <c r="K41" s="173"/>
    </row>
    <row r="42" spans="1:11" s="181" customFormat="1" ht="15">
      <c r="A42" s="259"/>
      <c r="B42" s="260"/>
      <c r="C42" s="233"/>
      <c r="D42" s="177"/>
      <c r="E42" s="177"/>
      <c r="F42" s="177"/>
      <c r="G42" s="177"/>
      <c r="H42" s="177"/>
      <c r="I42" s="233"/>
      <c r="J42" s="231"/>
      <c r="K42" s="261"/>
    </row>
    <row r="43" spans="1:11" s="181" customFormat="1" ht="55.5" customHeight="1">
      <c r="A43" s="171">
        <v>2.21</v>
      </c>
      <c r="B43" s="144" t="s">
        <v>271</v>
      </c>
      <c r="C43" s="172" t="s">
        <v>60</v>
      </c>
      <c r="D43" s="142">
        <f>D5+0.4</f>
        <v>8.8000000000000007</v>
      </c>
      <c r="E43" s="142">
        <f>E5+0.4</f>
        <v>8.5</v>
      </c>
      <c r="F43" s="175">
        <f>E30</f>
        <v>2.5199999999999996</v>
      </c>
      <c r="G43" s="142"/>
      <c r="H43" s="142"/>
      <c r="I43" s="210">
        <f>(D43*E43)+(D44*E44)+F43</f>
        <v>83.545000000000002</v>
      </c>
      <c r="J43" s="150"/>
      <c r="K43" s="173">
        <f>I43*J43</f>
        <v>0</v>
      </c>
    </row>
    <row r="44" spans="1:11" s="181" customFormat="1">
      <c r="A44" s="262"/>
      <c r="B44" s="263"/>
      <c r="C44" s="264"/>
      <c r="D44" s="175">
        <f>0.5</f>
        <v>0.5</v>
      </c>
      <c r="E44" s="181">
        <v>12.45</v>
      </c>
      <c r="F44" s="178"/>
      <c r="G44" s="178"/>
      <c r="H44" s="178"/>
      <c r="I44" s="264"/>
      <c r="J44" s="265"/>
      <c r="K44" s="266"/>
    </row>
    <row r="45" spans="1:11" s="181" customFormat="1" ht="58.5" customHeight="1">
      <c r="A45" s="171">
        <v>2.2200000000000002</v>
      </c>
      <c r="B45" s="144" t="s">
        <v>272</v>
      </c>
      <c r="C45" s="172" t="s">
        <v>10</v>
      </c>
      <c r="D45" s="142"/>
      <c r="E45" s="142"/>
      <c r="F45" s="142"/>
      <c r="G45" s="142"/>
      <c r="H45" s="142" t="s">
        <v>323</v>
      </c>
      <c r="I45" s="210">
        <f>(((D43*E43)+F43)*0.2)+(D44*E44*0.15)</f>
        <v>16.397750000000002</v>
      </c>
      <c r="J45" s="150"/>
      <c r="K45" s="173">
        <f>I45*J45</f>
        <v>0</v>
      </c>
    </row>
    <row r="46" spans="1:11" s="181" customFormat="1">
      <c r="A46" s="171"/>
      <c r="B46" s="148"/>
      <c r="C46" s="172"/>
      <c r="D46" s="142"/>
      <c r="E46" s="142"/>
      <c r="F46" s="142"/>
      <c r="G46" s="142"/>
      <c r="H46" s="142"/>
      <c r="I46" s="172"/>
      <c r="J46" s="150"/>
      <c r="K46" s="173"/>
    </row>
    <row r="47" spans="1:11" s="181" customFormat="1" ht="25.5">
      <c r="A47" s="171">
        <v>2.23</v>
      </c>
      <c r="B47" s="148" t="s">
        <v>153</v>
      </c>
      <c r="C47" s="172" t="s">
        <v>10</v>
      </c>
      <c r="D47" s="142">
        <v>0.2</v>
      </c>
      <c r="E47" s="142">
        <v>0.2</v>
      </c>
      <c r="F47" s="142">
        <v>1.1499999999999999</v>
      </c>
      <c r="G47" s="142">
        <v>18</v>
      </c>
      <c r="H47" s="142" t="s">
        <v>284</v>
      </c>
      <c r="I47" s="210">
        <f>D47*E47*F47*G47</f>
        <v>0.82800000000000007</v>
      </c>
      <c r="J47" s="150"/>
      <c r="K47" s="173">
        <f>I47*J47</f>
        <v>0</v>
      </c>
    </row>
    <row r="48" spans="1:11" s="181" customFormat="1">
      <c r="A48" s="171"/>
      <c r="B48" s="148"/>
      <c r="C48" s="172"/>
      <c r="D48" s="142"/>
      <c r="E48" s="142"/>
      <c r="F48" s="142"/>
      <c r="G48" s="142"/>
      <c r="H48" s="142"/>
      <c r="I48" s="172"/>
      <c r="J48" s="150"/>
      <c r="K48" s="173"/>
    </row>
    <row r="49" spans="1:11" s="181" customFormat="1">
      <c r="A49" s="256">
        <v>2.2999999999999998</v>
      </c>
      <c r="B49" s="258" t="s">
        <v>65</v>
      </c>
      <c r="C49" s="172"/>
      <c r="D49" s="142"/>
      <c r="E49" s="142"/>
      <c r="F49" s="142"/>
      <c r="G49" s="142"/>
      <c r="H49" s="142"/>
      <c r="I49" s="172"/>
      <c r="J49" s="150"/>
      <c r="K49" s="173"/>
    </row>
    <row r="50" spans="1:11" s="181" customFormat="1">
      <c r="A50" s="256"/>
      <c r="B50" s="258"/>
      <c r="C50" s="172"/>
      <c r="D50" s="142"/>
      <c r="E50" s="142"/>
      <c r="F50" s="142"/>
      <c r="G50" s="142"/>
      <c r="H50" s="142"/>
      <c r="I50" s="210">
        <f>I43+(D50*0.15)</f>
        <v>83.545000000000002</v>
      </c>
      <c r="J50" s="150"/>
      <c r="K50" s="173"/>
    </row>
    <row r="51" spans="1:11" s="181" customFormat="1" ht="58.5" customHeight="1">
      <c r="A51" s="171">
        <v>2.31</v>
      </c>
      <c r="B51" s="148" t="s">
        <v>279</v>
      </c>
      <c r="C51" s="172" t="s">
        <v>33</v>
      </c>
      <c r="D51" s="142"/>
      <c r="E51" s="142"/>
      <c r="F51" s="142"/>
      <c r="G51" s="142"/>
      <c r="H51" s="142" t="s">
        <v>301</v>
      </c>
      <c r="I51" s="212">
        <f>I43+D45</f>
        <v>83.545000000000002</v>
      </c>
      <c r="J51" s="145"/>
      <c r="K51" s="173">
        <f>I51*J51</f>
        <v>0</v>
      </c>
    </row>
    <row r="52" spans="1:11" s="181" customFormat="1">
      <c r="A52" s="171"/>
      <c r="B52" s="148"/>
      <c r="C52" s="172"/>
      <c r="D52" s="142"/>
      <c r="E52" s="142"/>
      <c r="F52" s="142"/>
      <c r="G52" s="142"/>
      <c r="H52" s="142"/>
      <c r="I52" s="172"/>
      <c r="J52" s="150"/>
      <c r="K52" s="173"/>
    </row>
    <row r="53" spans="1:11" s="181" customFormat="1">
      <c r="A53" s="171">
        <v>2.3199999999999998</v>
      </c>
      <c r="B53" s="148" t="s">
        <v>41</v>
      </c>
      <c r="C53" s="172" t="s">
        <v>34</v>
      </c>
      <c r="D53" s="142"/>
      <c r="E53" s="142"/>
      <c r="F53" s="142"/>
      <c r="G53" s="142"/>
      <c r="H53" s="142"/>
      <c r="I53" s="172">
        <v>193</v>
      </c>
      <c r="J53" s="150"/>
      <c r="K53" s="173">
        <f>I53*J53</f>
        <v>0</v>
      </c>
    </row>
    <row r="54" spans="1:11" s="181" customFormat="1">
      <c r="A54" s="171"/>
      <c r="B54" s="148"/>
      <c r="C54" s="172"/>
      <c r="D54" s="142"/>
      <c r="E54" s="142"/>
      <c r="F54" s="142"/>
      <c r="G54" s="142"/>
      <c r="H54" s="142"/>
      <c r="I54" s="172"/>
      <c r="J54" s="150"/>
      <c r="K54" s="173"/>
    </row>
    <row r="55" spans="1:11" s="181" customFormat="1">
      <c r="A55" s="256">
        <v>2.4</v>
      </c>
      <c r="B55" s="258" t="s">
        <v>35</v>
      </c>
      <c r="C55" s="172"/>
      <c r="D55" s="144"/>
      <c r="E55" s="144"/>
      <c r="F55" s="144"/>
      <c r="G55" s="144"/>
      <c r="H55" s="144"/>
      <c r="I55" s="145"/>
      <c r="J55" s="144"/>
      <c r="K55" s="173"/>
    </row>
    <row r="56" spans="1:11" s="181" customFormat="1">
      <c r="A56" s="171"/>
      <c r="B56" s="267"/>
      <c r="C56" s="268"/>
      <c r="D56" s="142"/>
      <c r="E56" s="142"/>
      <c r="F56" s="142"/>
      <c r="G56" s="142"/>
      <c r="H56" s="142"/>
      <c r="I56" s="172"/>
      <c r="J56" s="150"/>
      <c r="K56" s="173"/>
    </row>
    <row r="57" spans="1:11" s="181" customFormat="1" ht="25.5">
      <c r="A57" s="171"/>
      <c r="B57" s="148" t="s">
        <v>36</v>
      </c>
      <c r="C57" s="223"/>
      <c r="D57" s="142"/>
      <c r="E57" s="142"/>
      <c r="F57" s="142"/>
      <c r="G57" s="142"/>
      <c r="H57" s="142"/>
      <c r="I57" s="172"/>
      <c r="J57" s="150"/>
      <c r="K57" s="173"/>
    </row>
    <row r="58" spans="1:11" s="181" customFormat="1">
      <c r="A58" s="171"/>
      <c r="B58" s="148"/>
      <c r="C58" s="223"/>
      <c r="D58" s="142"/>
      <c r="E58" s="142"/>
      <c r="F58" s="142"/>
      <c r="G58" s="142"/>
      <c r="H58" s="142"/>
      <c r="I58" s="172"/>
      <c r="J58" s="150"/>
      <c r="K58" s="173"/>
    </row>
    <row r="59" spans="1:11" s="181" customFormat="1">
      <c r="A59" s="171">
        <v>2.41</v>
      </c>
      <c r="B59" s="148" t="s">
        <v>48</v>
      </c>
      <c r="C59" s="223"/>
      <c r="D59" s="142"/>
      <c r="E59" s="142"/>
      <c r="F59" s="142"/>
      <c r="G59" s="142"/>
      <c r="H59" s="142"/>
      <c r="I59" s="172"/>
      <c r="J59" s="150"/>
      <c r="K59" s="173"/>
    </row>
    <row r="60" spans="1:11" s="181" customFormat="1">
      <c r="A60" s="171"/>
      <c r="B60" s="148"/>
      <c r="C60" s="223"/>
      <c r="D60" s="142"/>
      <c r="E60" s="142"/>
      <c r="F60" s="142"/>
      <c r="G60" s="142"/>
      <c r="H60" s="142"/>
      <c r="I60" s="172"/>
      <c r="J60" s="150"/>
      <c r="K60" s="173"/>
    </row>
    <row r="61" spans="1:11" s="181" customFormat="1" ht="15.75">
      <c r="A61" s="228">
        <v>2.411</v>
      </c>
      <c r="B61" s="148" t="s">
        <v>49</v>
      </c>
      <c r="C61" s="223" t="s">
        <v>33</v>
      </c>
      <c r="D61" s="142">
        <v>1.1499999999999999</v>
      </c>
      <c r="E61" s="142">
        <v>0.2</v>
      </c>
      <c r="F61" s="142">
        <v>18</v>
      </c>
      <c r="H61" s="142" t="s">
        <v>298</v>
      </c>
      <c r="I61" s="210">
        <f>F61*4*(D61*E61)</f>
        <v>16.559999999999999</v>
      </c>
      <c r="J61" s="150"/>
      <c r="K61" s="173">
        <f>I61*J61</f>
        <v>0</v>
      </c>
    </row>
    <row r="62" spans="1:11" s="181" customFormat="1">
      <c r="A62" s="171"/>
      <c r="B62" s="148"/>
      <c r="C62" s="223"/>
      <c r="D62" s="142"/>
      <c r="E62" s="142"/>
      <c r="F62" s="142"/>
      <c r="G62" s="142"/>
      <c r="H62" s="142"/>
      <c r="I62" s="172"/>
      <c r="J62" s="150"/>
      <c r="K62" s="173"/>
    </row>
    <row r="63" spans="1:11" s="181" customFormat="1">
      <c r="A63" s="256">
        <v>2.5</v>
      </c>
      <c r="B63" s="258" t="s">
        <v>98</v>
      </c>
      <c r="C63" s="223"/>
      <c r="D63" s="142"/>
      <c r="E63" s="142"/>
      <c r="F63" s="142"/>
      <c r="G63" s="142"/>
      <c r="H63" s="142"/>
      <c r="I63" s="172"/>
      <c r="J63" s="150"/>
      <c r="K63" s="173"/>
    </row>
    <row r="64" spans="1:11" s="181" customFormat="1">
      <c r="A64" s="256"/>
      <c r="B64" s="258"/>
      <c r="C64" s="223"/>
      <c r="D64" s="142"/>
      <c r="E64" s="142"/>
      <c r="F64" s="142"/>
      <c r="G64" s="142"/>
      <c r="H64" s="142"/>
      <c r="I64" s="172"/>
      <c r="J64" s="150"/>
      <c r="K64" s="173"/>
    </row>
    <row r="65" spans="1:11" s="181" customFormat="1" ht="25.5">
      <c r="A65" s="171">
        <v>2.5099999999999998</v>
      </c>
      <c r="B65" s="148" t="s">
        <v>285</v>
      </c>
      <c r="C65" s="172" t="s">
        <v>33</v>
      </c>
      <c r="D65" s="142">
        <f>7</f>
        <v>7</v>
      </c>
      <c r="E65" s="142">
        <v>8</v>
      </c>
      <c r="F65" s="142"/>
      <c r="G65" s="142">
        <v>1</v>
      </c>
      <c r="H65" s="142"/>
      <c r="I65" s="210">
        <f>(D65*E65)+(D66*E66)+(G65*G66)</f>
        <v>63.225000000000001</v>
      </c>
      <c r="J65" s="150"/>
      <c r="K65" s="173">
        <f>I65*J65</f>
        <v>0</v>
      </c>
    </row>
    <row r="66" spans="1:11" s="181" customFormat="1">
      <c r="A66" s="256"/>
      <c r="B66" s="148"/>
      <c r="C66" s="268"/>
      <c r="D66" s="142">
        <v>0.5</v>
      </c>
      <c r="E66" s="142">
        <f>8+4.45</f>
        <v>12.45</v>
      </c>
      <c r="F66" s="142"/>
      <c r="G66" s="142">
        <v>1</v>
      </c>
      <c r="H66" s="142"/>
      <c r="I66" s="172"/>
      <c r="J66" s="150"/>
      <c r="K66" s="173"/>
    </row>
    <row r="67" spans="1:11" s="255" customFormat="1" ht="15">
      <c r="A67" s="420" t="s">
        <v>83</v>
      </c>
      <c r="B67" s="421"/>
      <c r="C67" s="421"/>
      <c r="D67" s="421"/>
      <c r="E67" s="421"/>
      <c r="F67" s="421"/>
      <c r="G67" s="421"/>
      <c r="H67" s="421"/>
      <c r="I67" s="421"/>
      <c r="J67" s="422"/>
      <c r="K67" s="254">
        <f>SUM(K34:K66)</f>
        <v>0</v>
      </c>
    </row>
    <row r="68" spans="1:11" s="181" customFormat="1">
      <c r="A68" s="246"/>
      <c r="B68" s="149"/>
      <c r="C68" s="176"/>
      <c r="D68" s="176"/>
      <c r="E68" s="176"/>
      <c r="F68" s="176"/>
      <c r="G68" s="176"/>
      <c r="H68" s="176"/>
      <c r="I68" s="176"/>
      <c r="J68" s="173"/>
      <c r="K68" s="173"/>
    </row>
    <row r="69" spans="1:11" s="181" customFormat="1">
      <c r="A69" s="256">
        <v>3</v>
      </c>
      <c r="B69" s="258" t="s">
        <v>38</v>
      </c>
      <c r="C69" s="268"/>
      <c r="D69" s="144"/>
      <c r="E69" s="144"/>
      <c r="F69" s="144"/>
      <c r="G69" s="144"/>
      <c r="H69" s="144"/>
      <c r="I69" s="145"/>
      <c r="J69" s="144"/>
      <c r="K69" s="173"/>
    </row>
    <row r="70" spans="1:11" s="181" customFormat="1">
      <c r="A70" s="256"/>
      <c r="B70" s="148"/>
      <c r="C70" s="172"/>
      <c r="D70" s="142"/>
      <c r="E70" s="142"/>
      <c r="F70" s="142"/>
      <c r="G70" s="142"/>
      <c r="H70" s="142"/>
      <c r="I70" s="172"/>
      <c r="J70" s="150"/>
      <c r="K70" s="173"/>
    </row>
    <row r="71" spans="1:11" s="181" customFormat="1">
      <c r="A71" s="256">
        <v>3.1</v>
      </c>
      <c r="B71" s="258" t="s">
        <v>142</v>
      </c>
      <c r="C71" s="172"/>
      <c r="D71" s="142"/>
      <c r="E71" s="142"/>
      <c r="F71" s="142"/>
      <c r="G71" s="142"/>
      <c r="H71" s="142"/>
      <c r="I71" s="172"/>
      <c r="J71" s="150"/>
      <c r="K71" s="173"/>
    </row>
    <row r="72" spans="1:11" s="181" customFormat="1">
      <c r="A72" s="256"/>
      <c r="B72" s="148"/>
      <c r="C72" s="172"/>
      <c r="D72" s="142"/>
      <c r="E72" s="142"/>
      <c r="F72" s="142"/>
      <c r="G72" s="142"/>
      <c r="H72" s="142"/>
      <c r="I72" s="172"/>
      <c r="J72" s="150"/>
      <c r="K72" s="173"/>
    </row>
    <row r="73" spans="1:11" s="181" customFormat="1" ht="38.25">
      <c r="A73" s="171"/>
      <c r="B73" s="148" t="s">
        <v>174</v>
      </c>
      <c r="C73" s="172"/>
      <c r="D73" s="142"/>
      <c r="E73" s="142"/>
      <c r="F73" s="142"/>
      <c r="G73" s="142"/>
      <c r="H73" s="142"/>
      <c r="I73" s="172"/>
      <c r="J73" s="150"/>
      <c r="K73" s="173"/>
    </row>
    <row r="74" spans="1:11" s="181" customFormat="1">
      <c r="A74" s="256"/>
      <c r="B74" s="148"/>
      <c r="C74" s="172"/>
      <c r="D74" s="142"/>
      <c r="E74" s="142"/>
      <c r="F74" s="142"/>
      <c r="G74" s="142"/>
      <c r="H74" s="142"/>
      <c r="I74" s="172"/>
      <c r="J74" s="150"/>
      <c r="K74" s="173"/>
    </row>
    <row r="75" spans="1:11" s="181" customFormat="1" ht="15.75">
      <c r="A75" s="171">
        <v>3.11</v>
      </c>
      <c r="B75" s="148" t="s">
        <v>118</v>
      </c>
      <c r="C75" s="172" t="s">
        <v>33</v>
      </c>
      <c r="D75" s="175">
        <f>(1.15*8.4)+(1.15*7*2)</f>
        <v>25.759999999999998</v>
      </c>
      <c r="E75" s="175">
        <f>(1.3*8.4*2)+(1.3*0.7*2)</f>
        <v>23.660000000000004</v>
      </c>
      <c r="F75" s="181">
        <f>(((6.7*2)+7)*1)+(2.25*0.5)</f>
        <v>21.524999999999999</v>
      </c>
      <c r="G75" s="142">
        <f>(0.6*1.2)+(0.6*1*2)</f>
        <v>1.92</v>
      </c>
      <c r="H75" s="183"/>
      <c r="I75" s="211">
        <f>D75+E75+F75+G75</f>
        <v>72.864999999999995</v>
      </c>
      <c r="J75" s="150"/>
      <c r="K75" s="173">
        <f>I75*J75</f>
        <v>0</v>
      </c>
    </row>
    <row r="76" spans="1:11" s="181" customFormat="1">
      <c r="A76" s="256"/>
      <c r="B76" s="148"/>
      <c r="C76" s="172"/>
      <c r="E76" s="142"/>
      <c r="F76" s="142"/>
      <c r="G76" s="142"/>
      <c r="H76" s="142"/>
      <c r="I76" s="172"/>
      <c r="J76" s="150"/>
      <c r="K76" s="173"/>
    </row>
    <row r="77" spans="1:11" s="181" customFormat="1">
      <c r="A77" s="256">
        <v>3.2</v>
      </c>
      <c r="B77" s="258" t="s">
        <v>132</v>
      </c>
      <c r="C77" s="172"/>
      <c r="D77" s="142"/>
      <c r="E77" s="142"/>
      <c r="F77" s="142"/>
      <c r="G77" s="142"/>
      <c r="H77" s="142"/>
      <c r="I77" s="172"/>
      <c r="J77" s="150"/>
      <c r="K77" s="173"/>
    </row>
    <row r="78" spans="1:11" s="181" customFormat="1">
      <c r="A78" s="256"/>
      <c r="B78" s="148"/>
      <c r="C78" s="172"/>
      <c r="D78" s="142"/>
      <c r="E78" s="142"/>
      <c r="F78" s="142"/>
      <c r="G78" s="142"/>
      <c r="H78" s="142"/>
      <c r="I78" s="172"/>
      <c r="J78" s="150"/>
      <c r="K78" s="173"/>
    </row>
    <row r="79" spans="1:11" s="181" customFormat="1" ht="15.75">
      <c r="A79" s="171">
        <v>3.21</v>
      </c>
      <c r="B79" s="144" t="s">
        <v>156</v>
      </c>
      <c r="C79" s="172" t="s">
        <v>33</v>
      </c>
      <c r="D79" s="142"/>
      <c r="E79" s="142"/>
      <c r="F79" s="142"/>
      <c r="G79" s="142"/>
      <c r="H79" s="142" t="s">
        <v>97</v>
      </c>
      <c r="I79" s="172">
        <f>I75*2</f>
        <v>145.72999999999999</v>
      </c>
      <c r="J79" s="150"/>
      <c r="K79" s="173">
        <f>I79*J79</f>
        <v>0</v>
      </c>
    </row>
    <row r="80" spans="1:11" s="181" customFormat="1">
      <c r="A80" s="256"/>
      <c r="B80" s="148"/>
      <c r="C80" s="268"/>
      <c r="D80" s="142"/>
      <c r="E80" s="142"/>
      <c r="F80" s="142"/>
      <c r="G80" s="142"/>
      <c r="H80" s="142"/>
      <c r="I80" s="172"/>
      <c r="J80" s="150"/>
      <c r="K80" s="173"/>
    </row>
    <row r="81" spans="1:11" s="255" customFormat="1" ht="15">
      <c r="A81" s="420" t="s">
        <v>84</v>
      </c>
      <c r="B81" s="421"/>
      <c r="C81" s="421"/>
      <c r="D81" s="421"/>
      <c r="E81" s="421"/>
      <c r="F81" s="421"/>
      <c r="G81" s="421"/>
      <c r="H81" s="421"/>
      <c r="I81" s="421"/>
      <c r="J81" s="422"/>
      <c r="K81" s="254">
        <f>SUM(K68:K80)</f>
        <v>0</v>
      </c>
    </row>
    <row r="82" spans="1:11" s="181" customFormat="1">
      <c r="A82" s="246"/>
      <c r="B82" s="149"/>
      <c r="C82" s="176"/>
      <c r="D82" s="176"/>
      <c r="E82" s="176"/>
      <c r="F82" s="176"/>
      <c r="G82" s="176"/>
      <c r="H82" s="176"/>
      <c r="I82" s="176"/>
      <c r="J82" s="173"/>
      <c r="K82" s="173"/>
    </row>
    <row r="83" spans="1:11" s="181" customFormat="1" ht="26.25" customHeight="1">
      <c r="A83" s="247">
        <v>4</v>
      </c>
      <c r="B83" s="248" t="s">
        <v>116</v>
      </c>
      <c r="C83" s="172"/>
      <c r="D83" s="142"/>
      <c r="E83" s="142"/>
      <c r="F83" s="142"/>
      <c r="G83" s="142"/>
      <c r="H83" s="142"/>
      <c r="I83" s="172"/>
      <c r="J83" s="150"/>
      <c r="K83" s="173"/>
    </row>
    <row r="84" spans="1:11" s="181" customFormat="1">
      <c r="A84" s="256"/>
      <c r="B84" s="257"/>
      <c r="C84" s="172"/>
      <c r="D84" s="142"/>
      <c r="E84" s="142"/>
      <c r="F84" s="142"/>
      <c r="G84" s="142"/>
      <c r="H84" s="142"/>
      <c r="I84" s="172"/>
      <c r="J84" s="150"/>
      <c r="K84" s="173"/>
    </row>
    <row r="85" spans="1:11" s="181" customFormat="1">
      <c r="A85" s="247">
        <v>4.0999999999999996</v>
      </c>
      <c r="B85" s="248" t="s">
        <v>44</v>
      </c>
      <c r="C85" s="172"/>
      <c r="D85" s="142"/>
      <c r="E85" s="142"/>
      <c r="F85" s="142"/>
      <c r="G85" s="142"/>
      <c r="H85" s="142"/>
      <c r="I85" s="172"/>
      <c r="J85" s="150"/>
      <c r="K85" s="173"/>
    </row>
    <row r="86" spans="1:11" s="181" customFormat="1">
      <c r="A86" s="171"/>
      <c r="B86" s="144"/>
      <c r="C86" s="172"/>
      <c r="D86" s="142"/>
      <c r="E86" s="142"/>
      <c r="F86" s="142"/>
      <c r="G86" s="142"/>
      <c r="H86" s="142"/>
      <c r="I86" s="172"/>
      <c r="J86" s="150"/>
      <c r="K86" s="173"/>
    </row>
    <row r="87" spans="1:11" s="181" customFormat="1" ht="51">
      <c r="A87" s="171">
        <v>4.1100000000000003</v>
      </c>
      <c r="B87" s="148" t="s">
        <v>286</v>
      </c>
      <c r="C87" s="172" t="s">
        <v>10</v>
      </c>
      <c r="D87" s="142">
        <f>D5</f>
        <v>8.4</v>
      </c>
      <c r="E87" s="142">
        <f>E7</f>
        <v>7.4</v>
      </c>
      <c r="F87" s="142">
        <v>0.15</v>
      </c>
      <c r="G87" s="142"/>
      <c r="H87" s="179" t="s">
        <v>287</v>
      </c>
      <c r="I87" s="210">
        <f>(D87*E87*F87)-(D88*F87)</f>
        <v>9.161999999999999</v>
      </c>
      <c r="J87" s="150"/>
      <c r="K87" s="173">
        <f>I87*J87</f>
        <v>0</v>
      </c>
    </row>
    <row r="88" spans="1:11" s="181" customFormat="1">
      <c r="A88" s="171"/>
      <c r="B88" s="257"/>
      <c r="C88" s="172"/>
      <c r="D88" s="142">
        <f>4*(0.6*0.45)</f>
        <v>1.08</v>
      </c>
      <c r="E88" s="142"/>
      <c r="F88" s="142"/>
      <c r="G88" s="142"/>
      <c r="H88" s="142"/>
      <c r="I88" s="172"/>
      <c r="J88" s="150"/>
      <c r="K88" s="173"/>
    </row>
    <row r="89" spans="1:11" s="181" customFormat="1" ht="38.25">
      <c r="A89" s="171">
        <v>4.12</v>
      </c>
      <c r="B89" s="148" t="s">
        <v>302</v>
      </c>
      <c r="C89" s="172" t="s">
        <v>10</v>
      </c>
      <c r="D89" s="142">
        <f>0.8*0.9</f>
        <v>0.72000000000000008</v>
      </c>
      <c r="E89" s="142">
        <f>1*0.9</f>
        <v>0.9</v>
      </c>
      <c r="F89" s="142">
        <v>0.15</v>
      </c>
      <c r="G89" s="142"/>
      <c r="H89" s="142" t="s">
        <v>288</v>
      </c>
      <c r="I89" s="210">
        <f>(D89*F89)+(E89*F89)</f>
        <v>0.24300000000000002</v>
      </c>
      <c r="J89" s="150"/>
      <c r="K89" s="173">
        <f>I89*J89</f>
        <v>0</v>
      </c>
    </row>
    <row r="90" spans="1:11" s="181" customFormat="1">
      <c r="A90" s="171"/>
      <c r="B90" s="148"/>
      <c r="C90" s="172"/>
      <c r="D90" s="142"/>
      <c r="E90" s="142"/>
      <c r="F90" s="142"/>
      <c r="G90" s="142"/>
      <c r="H90" s="142"/>
      <c r="I90" s="172"/>
      <c r="J90" s="150"/>
      <c r="K90" s="173"/>
    </row>
    <row r="91" spans="1:11" s="181" customFormat="1" ht="25.5">
      <c r="A91" s="171">
        <v>4.13</v>
      </c>
      <c r="B91" s="144" t="s">
        <v>235</v>
      </c>
      <c r="C91" s="172" t="s">
        <v>10</v>
      </c>
      <c r="D91" s="142">
        <f>(D5*3)+(E7*2)</f>
        <v>40</v>
      </c>
      <c r="E91" s="142">
        <v>0.2</v>
      </c>
      <c r="F91" s="142">
        <v>0.3</v>
      </c>
      <c r="G91" s="142"/>
      <c r="H91" s="142" t="s">
        <v>319</v>
      </c>
      <c r="I91" s="210">
        <f>D91*E91*F91</f>
        <v>2.4</v>
      </c>
      <c r="J91" s="150"/>
      <c r="K91" s="173">
        <f>I91*J91</f>
        <v>0</v>
      </c>
    </row>
    <row r="92" spans="1:11" s="181" customFormat="1">
      <c r="A92" s="171"/>
      <c r="B92" s="148"/>
      <c r="C92" s="172"/>
      <c r="D92" s="142"/>
      <c r="E92" s="142"/>
      <c r="F92" s="142"/>
      <c r="G92" s="142"/>
      <c r="H92" s="142"/>
      <c r="I92" s="172"/>
      <c r="J92" s="150"/>
      <c r="K92" s="173"/>
    </row>
    <row r="93" spans="1:11" s="181" customFormat="1" ht="38.25">
      <c r="A93" s="171">
        <v>4.1399999999999997</v>
      </c>
      <c r="B93" s="144" t="s">
        <v>159</v>
      </c>
      <c r="C93" s="172" t="s">
        <v>150</v>
      </c>
      <c r="D93" s="142">
        <v>1.2</v>
      </c>
      <c r="E93" s="142">
        <v>1.4</v>
      </c>
      <c r="F93" s="142">
        <v>0.6</v>
      </c>
      <c r="G93" s="142">
        <v>0.45</v>
      </c>
      <c r="H93" s="142"/>
      <c r="I93" s="210">
        <f>((D93*E93)-(F93*G93))*0.15</f>
        <v>0.21149999999999999</v>
      </c>
      <c r="J93" s="150"/>
      <c r="K93" s="173">
        <f>J93*I93</f>
        <v>0</v>
      </c>
    </row>
    <row r="94" spans="1:11" s="181" customFormat="1">
      <c r="A94" s="171"/>
      <c r="B94" s="148"/>
      <c r="C94" s="172"/>
      <c r="D94" s="142"/>
      <c r="E94" s="142"/>
      <c r="F94" s="142"/>
      <c r="G94" s="142"/>
      <c r="H94" s="142"/>
      <c r="I94" s="172"/>
      <c r="J94" s="150"/>
      <c r="K94" s="173"/>
    </row>
    <row r="95" spans="1:11" s="181" customFormat="1" ht="25.5">
      <c r="A95" s="171">
        <v>4.1500000000000004</v>
      </c>
      <c r="B95" s="144" t="s">
        <v>294</v>
      </c>
      <c r="C95" s="172" t="s">
        <v>9</v>
      </c>
      <c r="D95" s="142"/>
      <c r="E95" s="142"/>
      <c r="F95" s="142"/>
      <c r="G95" s="142"/>
      <c r="H95" s="142"/>
      <c r="I95" s="172">
        <v>6</v>
      </c>
      <c r="J95" s="150"/>
      <c r="K95" s="173">
        <f>I95*J95</f>
        <v>0</v>
      </c>
    </row>
    <row r="96" spans="1:11" s="181" customFormat="1">
      <c r="A96" s="171"/>
      <c r="B96" s="144"/>
      <c r="C96" s="172"/>
      <c r="D96" s="142"/>
      <c r="E96" s="142"/>
      <c r="F96" s="142"/>
      <c r="G96" s="142"/>
      <c r="H96" s="142"/>
      <c r="I96" s="172"/>
      <c r="J96" s="150"/>
      <c r="K96" s="173"/>
    </row>
    <row r="97" spans="1:11" s="181" customFormat="1">
      <c r="A97" s="256">
        <v>4.2</v>
      </c>
      <c r="B97" s="258" t="s">
        <v>65</v>
      </c>
      <c r="C97" s="172"/>
      <c r="D97" s="142"/>
      <c r="E97" s="142"/>
      <c r="F97" s="142"/>
      <c r="G97" s="142"/>
      <c r="H97" s="142"/>
      <c r="I97" s="172"/>
      <c r="J97" s="150"/>
      <c r="K97" s="173"/>
    </row>
    <row r="98" spans="1:11" s="181" customFormat="1">
      <c r="A98" s="256"/>
      <c r="B98" s="258"/>
      <c r="C98" s="172"/>
      <c r="D98" s="142"/>
      <c r="E98" s="142"/>
      <c r="F98" s="142"/>
      <c r="G98" s="142"/>
      <c r="H98" s="142"/>
      <c r="I98" s="172"/>
      <c r="J98" s="150"/>
      <c r="K98" s="173"/>
    </row>
    <row r="99" spans="1:11" s="181" customFormat="1">
      <c r="A99" s="171">
        <v>4.21</v>
      </c>
      <c r="B99" s="148" t="s">
        <v>41</v>
      </c>
      <c r="C99" s="172" t="s">
        <v>34</v>
      </c>
      <c r="D99" s="142"/>
      <c r="E99" s="142"/>
      <c r="F99" s="142"/>
      <c r="G99" s="142"/>
      <c r="H99" s="142"/>
      <c r="I99" s="210">
        <v>1107</v>
      </c>
      <c r="J99" s="150"/>
      <c r="K99" s="173">
        <f>I99*J99</f>
        <v>0</v>
      </c>
    </row>
    <row r="100" spans="1:11" s="181" customFormat="1">
      <c r="A100" s="171"/>
      <c r="B100" s="148"/>
      <c r="C100" s="172"/>
      <c r="D100" s="142"/>
      <c r="E100" s="142"/>
      <c r="F100" s="142"/>
      <c r="G100" s="142"/>
      <c r="H100" s="142"/>
      <c r="I100" s="172"/>
      <c r="J100" s="150"/>
      <c r="K100" s="173"/>
    </row>
    <row r="101" spans="1:11" s="181" customFormat="1">
      <c r="A101" s="256">
        <v>4.3</v>
      </c>
      <c r="B101" s="258" t="s">
        <v>35</v>
      </c>
      <c r="C101" s="172"/>
      <c r="D101" s="144"/>
      <c r="E101" s="144"/>
      <c r="F101" s="144"/>
      <c r="G101" s="144"/>
      <c r="H101" s="144"/>
      <c r="I101" s="145"/>
      <c r="J101" s="144"/>
      <c r="K101" s="173"/>
    </row>
    <row r="102" spans="1:11" s="181" customFormat="1">
      <c r="A102" s="171"/>
      <c r="B102" s="267"/>
      <c r="C102" s="268"/>
      <c r="D102" s="142"/>
      <c r="E102" s="142"/>
      <c r="F102" s="142"/>
      <c r="G102" s="142"/>
      <c r="H102" s="142"/>
      <c r="I102" s="172"/>
      <c r="J102" s="150"/>
      <c r="K102" s="173"/>
    </row>
    <row r="103" spans="1:11" s="181" customFormat="1" ht="25.5">
      <c r="A103" s="171"/>
      <c r="B103" s="148" t="s">
        <v>36</v>
      </c>
      <c r="C103" s="223"/>
      <c r="D103" s="142"/>
      <c r="E103" s="142"/>
      <c r="F103" s="142"/>
      <c r="G103" s="142"/>
      <c r="H103" s="142"/>
      <c r="I103" s="172"/>
      <c r="J103" s="150"/>
      <c r="K103" s="173"/>
    </row>
    <row r="104" spans="1:11" s="181" customFormat="1">
      <c r="A104" s="171"/>
      <c r="B104" s="148"/>
      <c r="C104" s="223"/>
      <c r="D104" s="142"/>
      <c r="E104" s="142"/>
      <c r="F104" s="142"/>
      <c r="G104" s="142"/>
      <c r="H104" s="142"/>
      <c r="I104" s="172"/>
      <c r="J104" s="150"/>
      <c r="K104" s="173"/>
    </row>
    <row r="105" spans="1:11" s="181" customFormat="1">
      <c r="A105" s="171">
        <v>4.3099999999999996</v>
      </c>
      <c r="B105" s="148" t="s">
        <v>47</v>
      </c>
      <c r="C105" s="223"/>
      <c r="D105" s="142"/>
      <c r="E105" s="142"/>
      <c r="F105" s="142"/>
      <c r="G105" s="142"/>
      <c r="H105" s="142"/>
      <c r="I105" s="172"/>
      <c r="J105" s="150"/>
      <c r="K105" s="173"/>
    </row>
    <row r="106" spans="1:11" s="181" customFormat="1">
      <c r="A106" s="171"/>
      <c r="B106" s="148"/>
      <c r="C106" s="223"/>
      <c r="D106" s="142"/>
      <c r="E106" s="142"/>
      <c r="F106" s="142"/>
      <c r="G106" s="142"/>
      <c r="H106" s="142"/>
      <c r="I106" s="172"/>
      <c r="J106" s="150"/>
      <c r="K106" s="173"/>
    </row>
    <row r="107" spans="1:11" s="181" customFormat="1" ht="15.75">
      <c r="A107" s="228">
        <v>4.3109999999999999</v>
      </c>
      <c r="B107" s="148" t="s">
        <v>46</v>
      </c>
      <c r="C107" s="223" t="s">
        <v>33</v>
      </c>
      <c r="D107" s="142">
        <f>D87-0.4</f>
        <v>8</v>
      </c>
      <c r="E107" s="142">
        <f>E87-0.4</f>
        <v>7</v>
      </c>
      <c r="F107" s="142">
        <f>0.5*0.8</f>
        <v>0.4</v>
      </c>
      <c r="G107" s="142"/>
      <c r="H107" s="142"/>
      <c r="I107" s="210">
        <f>(D107*E107)+(F107*2)+(D108*E108)</f>
        <v>57.8</v>
      </c>
      <c r="J107" s="150"/>
      <c r="K107" s="173">
        <f>I107*J107</f>
        <v>0</v>
      </c>
    </row>
    <row r="108" spans="1:11" s="181" customFormat="1" ht="16.5" customHeight="1">
      <c r="A108" s="171"/>
      <c r="B108" s="148"/>
      <c r="C108" s="223"/>
      <c r="D108" s="142">
        <v>1</v>
      </c>
      <c r="E108" s="142">
        <v>1</v>
      </c>
      <c r="F108" s="142"/>
      <c r="G108" s="142"/>
      <c r="H108" s="142"/>
      <c r="I108" s="172"/>
      <c r="J108" s="150"/>
      <c r="K108" s="173"/>
    </row>
    <row r="109" spans="1:11" s="181" customFormat="1">
      <c r="A109" s="171">
        <v>4.32</v>
      </c>
      <c r="B109" s="148" t="s">
        <v>48</v>
      </c>
      <c r="C109" s="268"/>
      <c r="D109" s="144"/>
      <c r="E109" s="144"/>
      <c r="F109" s="144"/>
      <c r="G109" s="144"/>
      <c r="H109" s="144"/>
      <c r="I109" s="145"/>
      <c r="J109" s="144"/>
      <c r="K109" s="173"/>
    </row>
    <row r="110" spans="1:11" s="181" customFormat="1">
      <c r="A110" s="171"/>
      <c r="B110" s="148"/>
      <c r="C110" s="268"/>
      <c r="D110" s="142"/>
      <c r="E110" s="142"/>
      <c r="F110" s="142"/>
      <c r="G110" s="142"/>
      <c r="H110" s="142"/>
      <c r="I110" s="172"/>
      <c r="J110" s="150"/>
      <c r="K110" s="173"/>
    </row>
    <row r="111" spans="1:11" s="181" customFormat="1" ht="15.75">
      <c r="A111" s="228">
        <v>4.3209999999999997</v>
      </c>
      <c r="B111" s="148" t="s">
        <v>151</v>
      </c>
      <c r="C111" s="223" t="s">
        <v>33</v>
      </c>
      <c r="D111" s="142">
        <f xml:space="preserve"> (D5*2)+(E5*2)</f>
        <v>33</v>
      </c>
      <c r="E111" s="142">
        <f>(8*4)+(7*2)</f>
        <v>46</v>
      </c>
      <c r="F111" s="142"/>
      <c r="G111" s="142"/>
      <c r="H111" s="142"/>
      <c r="I111" s="172">
        <f>0.3*(D111+E111)</f>
        <v>23.7</v>
      </c>
      <c r="J111" s="150"/>
      <c r="K111" s="173">
        <f>I111*J111</f>
        <v>0</v>
      </c>
    </row>
    <row r="112" spans="1:11" s="181" customFormat="1">
      <c r="A112" s="256"/>
      <c r="B112" s="148"/>
      <c r="C112" s="223"/>
      <c r="D112" s="142"/>
      <c r="E112" s="142"/>
      <c r="F112" s="142"/>
      <c r="G112" s="142"/>
      <c r="H112" s="142"/>
      <c r="I112" s="172"/>
      <c r="J112" s="150"/>
      <c r="K112" s="173"/>
    </row>
    <row r="113" spans="1:14" s="255" customFormat="1" ht="15">
      <c r="A113" s="420" t="s">
        <v>85</v>
      </c>
      <c r="B113" s="421"/>
      <c r="C113" s="421"/>
      <c r="D113" s="421"/>
      <c r="E113" s="421"/>
      <c r="F113" s="421"/>
      <c r="G113" s="421"/>
      <c r="H113" s="421"/>
      <c r="I113" s="421"/>
      <c r="J113" s="422"/>
      <c r="K113" s="254">
        <f>SUM(K82:K112)</f>
        <v>0</v>
      </c>
      <c r="L113" s="269"/>
    </row>
    <row r="114" spans="1:14" s="181" customFormat="1">
      <c r="A114" s="256"/>
      <c r="B114" s="144"/>
      <c r="C114" s="172"/>
      <c r="D114" s="144"/>
      <c r="E114" s="144"/>
      <c r="F114" s="144"/>
      <c r="G114" s="144"/>
      <c r="H114" s="144"/>
      <c r="I114" s="145"/>
      <c r="J114" s="144"/>
      <c r="K114" s="173"/>
    </row>
    <row r="115" spans="1:14" s="181" customFormat="1">
      <c r="A115" s="256">
        <v>5</v>
      </c>
      <c r="B115" s="258" t="s">
        <v>12</v>
      </c>
      <c r="C115" s="172"/>
      <c r="D115" s="144"/>
      <c r="E115" s="144"/>
      <c r="F115" s="144"/>
      <c r="G115" s="144"/>
      <c r="H115" s="144"/>
      <c r="I115" s="145"/>
      <c r="J115" s="144"/>
      <c r="K115" s="173"/>
    </row>
    <row r="116" spans="1:14" s="181" customFormat="1">
      <c r="A116" s="256"/>
      <c r="B116" s="144"/>
      <c r="C116" s="172"/>
      <c r="D116" s="142"/>
      <c r="E116" s="142"/>
      <c r="F116" s="142"/>
      <c r="G116" s="142"/>
      <c r="H116" s="142"/>
      <c r="I116" s="172"/>
      <c r="J116" s="150"/>
      <c r="K116" s="173"/>
    </row>
    <row r="117" spans="1:14" s="181" customFormat="1">
      <c r="A117" s="256">
        <v>5.0999999999999996</v>
      </c>
      <c r="B117" s="258" t="s">
        <v>68</v>
      </c>
      <c r="C117" s="172"/>
      <c r="D117" s="142"/>
      <c r="E117" s="142"/>
      <c r="F117" s="142"/>
      <c r="G117" s="142"/>
      <c r="H117" s="142"/>
      <c r="I117" s="172"/>
      <c r="J117" s="150"/>
      <c r="K117" s="173"/>
    </row>
    <row r="118" spans="1:14" s="181" customFormat="1">
      <c r="A118" s="256"/>
      <c r="B118" s="144"/>
      <c r="C118" s="172"/>
      <c r="D118" s="142"/>
      <c r="E118" s="142"/>
      <c r="F118" s="142"/>
      <c r="G118" s="142"/>
      <c r="H118" s="142"/>
      <c r="I118" s="172"/>
      <c r="J118" s="150"/>
      <c r="K118" s="173"/>
    </row>
    <row r="119" spans="1:14" s="181" customFormat="1" ht="38.25">
      <c r="A119" s="256"/>
      <c r="B119" s="144" t="s">
        <v>157</v>
      </c>
      <c r="C119" s="172"/>
      <c r="D119" s="142"/>
      <c r="E119" s="142"/>
      <c r="F119" s="142"/>
      <c r="G119" s="142"/>
      <c r="H119" s="142"/>
      <c r="I119" s="172"/>
      <c r="J119" s="150"/>
      <c r="K119" s="173"/>
    </row>
    <row r="120" spans="1:14" s="181" customFormat="1">
      <c r="A120" s="256"/>
      <c r="B120" s="144"/>
      <c r="C120" s="172"/>
      <c r="D120" s="142"/>
      <c r="E120" s="142"/>
      <c r="F120" s="142"/>
      <c r="G120" s="142"/>
      <c r="H120" s="142"/>
      <c r="I120" s="172"/>
      <c r="J120" s="150"/>
      <c r="K120" s="173"/>
    </row>
    <row r="121" spans="1:14" s="181" customFormat="1" ht="38.25">
      <c r="A121" s="171">
        <v>5.1100000000000003</v>
      </c>
      <c r="B121" s="144" t="s">
        <v>295</v>
      </c>
      <c r="C121" s="172" t="s">
        <v>180</v>
      </c>
      <c r="D121" s="175"/>
      <c r="E121" s="144"/>
      <c r="F121" s="144"/>
      <c r="G121" s="144"/>
      <c r="H121" s="183"/>
      <c r="I121" s="145" t="s">
        <v>104</v>
      </c>
      <c r="J121" s="150"/>
      <c r="K121" s="173">
        <f>J121</f>
        <v>0</v>
      </c>
      <c r="L121" s="215"/>
      <c r="M121" s="215"/>
      <c r="N121" s="215"/>
    </row>
    <row r="122" spans="1:14" s="181" customFormat="1">
      <c r="A122" s="171"/>
      <c r="B122" s="144"/>
      <c r="C122" s="172"/>
      <c r="D122" s="175"/>
      <c r="E122" s="144"/>
      <c r="F122" s="144"/>
      <c r="G122" s="144"/>
      <c r="H122" s="183"/>
      <c r="I122" s="145"/>
      <c r="J122" s="150"/>
      <c r="K122" s="173"/>
      <c r="L122" s="215"/>
      <c r="M122" s="215"/>
      <c r="N122" s="215"/>
    </row>
    <row r="123" spans="1:14" s="181" customFormat="1" ht="25.5">
      <c r="A123" s="171">
        <v>5.12</v>
      </c>
      <c r="B123" s="144" t="s">
        <v>327</v>
      </c>
      <c r="C123" s="172" t="s">
        <v>3</v>
      </c>
      <c r="D123" s="175"/>
      <c r="E123" s="144"/>
      <c r="F123" s="144"/>
      <c r="G123" s="144"/>
      <c r="H123" s="183"/>
      <c r="I123" s="145">
        <v>0.4</v>
      </c>
      <c r="J123" s="150"/>
      <c r="K123" s="173">
        <f>I123*J123</f>
        <v>0</v>
      </c>
      <c r="L123" s="215"/>
      <c r="M123" s="215"/>
      <c r="N123" s="215"/>
    </row>
    <row r="124" spans="1:14" s="181" customFormat="1">
      <c r="A124" s="171"/>
      <c r="B124" s="144"/>
      <c r="C124" s="172"/>
      <c r="D124" s="175"/>
      <c r="E124" s="144"/>
      <c r="F124" s="144"/>
      <c r="G124" s="144"/>
      <c r="H124" s="183"/>
      <c r="I124" s="145"/>
      <c r="J124" s="150"/>
      <c r="K124" s="173"/>
      <c r="L124" s="215"/>
      <c r="M124" s="215"/>
      <c r="N124" s="215"/>
    </row>
    <row r="125" spans="1:14" s="181" customFormat="1" ht="25.5">
      <c r="A125" s="171">
        <v>5.13</v>
      </c>
      <c r="B125" s="144" t="s">
        <v>324</v>
      </c>
      <c r="C125" s="172" t="s">
        <v>3</v>
      </c>
      <c r="D125" s="175"/>
      <c r="E125" s="144"/>
      <c r="F125" s="144"/>
      <c r="G125" s="144"/>
      <c r="H125" s="183"/>
      <c r="I125" s="145">
        <f>7+3</f>
        <v>10</v>
      </c>
      <c r="J125" s="150"/>
      <c r="K125" s="173">
        <f>I125*J125</f>
        <v>0</v>
      </c>
      <c r="L125" s="215"/>
      <c r="M125" s="215"/>
      <c r="N125" s="215"/>
    </row>
    <row r="126" spans="1:14" s="181" customFormat="1">
      <c r="A126" s="171"/>
      <c r="B126" s="144"/>
      <c r="C126" s="172"/>
      <c r="D126" s="175"/>
      <c r="E126" s="144"/>
      <c r="F126" s="144"/>
      <c r="G126" s="144"/>
      <c r="H126" s="183"/>
      <c r="I126" s="145"/>
      <c r="J126" s="150"/>
      <c r="K126" s="173"/>
      <c r="L126" s="215"/>
      <c r="M126" s="215"/>
      <c r="N126" s="215"/>
    </row>
    <row r="127" spans="1:14" ht="25.5">
      <c r="A127" s="171">
        <v>5.14</v>
      </c>
      <c r="B127" s="144" t="s">
        <v>325</v>
      </c>
      <c r="C127" s="172" t="s">
        <v>3</v>
      </c>
      <c r="D127" s="142"/>
      <c r="E127" s="142"/>
      <c r="F127" s="142"/>
      <c r="G127" s="229"/>
      <c r="H127" s="270"/>
      <c r="I127" s="145">
        <v>11</v>
      </c>
      <c r="J127" s="150"/>
      <c r="K127" s="173">
        <f>I127*J127</f>
        <v>0</v>
      </c>
    </row>
    <row r="128" spans="1:14">
      <c r="A128" s="171"/>
      <c r="B128" s="144"/>
      <c r="C128" s="172"/>
      <c r="D128" s="142"/>
      <c r="E128" s="142"/>
      <c r="F128" s="142"/>
      <c r="G128" s="229"/>
      <c r="H128" s="270"/>
      <c r="I128" s="145"/>
      <c r="J128" s="150"/>
      <c r="K128" s="173"/>
    </row>
    <row r="129" spans="1:12" ht="25.5">
      <c r="A129" s="171">
        <v>5.15</v>
      </c>
      <c r="B129" s="144" t="s">
        <v>352</v>
      </c>
      <c r="C129" s="172" t="s">
        <v>3</v>
      </c>
      <c r="D129" s="142"/>
      <c r="E129" s="142"/>
      <c r="F129" s="142"/>
      <c r="G129" s="229"/>
      <c r="H129" s="270"/>
      <c r="I129" s="145">
        <v>16</v>
      </c>
      <c r="J129" s="150"/>
      <c r="K129" s="173">
        <f>I129*J129</f>
        <v>0</v>
      </c>
    </row>
    <row r="130" spans="1:12">
      <c r="A130" s="171"/>
      <c r="B130" s="144"/>
      <c r="C130" s="172"/>
      <c r="D130" s="229"/>
      <c r="E130" s="229"/>
      <c r="F130" s="229"/>
      <c r="G130" s="229"/>
      <c r="H130" s="229"/>
      <c r="I130" s="145"/>
      <c r="J130" s="145"/>
      <c r="K130" s="173"/>
    </row>
    <row r="131" spans="1:12" ht="56.25" customHeight="1">
      <c r="A131" s="171">
        <v>5.16</v>
      </c>
      <c r="B131" s="144" t="s">
        <v>353</v>
      </c>
      <c r="C131" s="172" t="s">
        <v>3</v>
      </c>
      <c r="D131" s="271"/>
      <c r="E131" s="229"/>
      <c r="F131" s="229"/>
      <c r="G131" s="229"/>
      <c r="H131" s="229"/>
      <c r="I131" s="145">
        <f>I127-1</f>
        <v>10</v>
      </c>
      <c r="J131" s="150"/>
      <c r="K131" s="173">
        <f>I131*J131</f>
        <v>0</v>
      </c>
    </row>
    <row r="132" spans="1:12">
      <c r="A132" s="171"/>
      <c r="B132" s="144"/>
      <c r="C132" s="172"/>
      <c r="D132" s="229"/>
      <c r="E132" s="229"/>
      <c r="F132" s="229"/>
      <c r="G132" s="229"/>
      <c r="H132" s="229"/>
      <c r="I132" s="145"/>
      <c r="J132" s="145"/>
      <c r="K132" s="173"/>
    </row>
    <row r="133" spans="1:12" s="181" customFormat="1">
      <c r="A133" s="256"/>
      <c r="B133" s="144"/>
      <c r="C133" s="172"/>
      <c r="D133" s="144"/>
      <c r="E133" s="144"/>
      <c r="F133" s="144"/>
      <c r="G133" s="144"/>
      <c r="H133" s="144"/>
      <c r="I133" s="145"/>
      <c r="J133" s="144"/>
      <c r="K133" s="173"/>
    </row>
    <row r="134" spans="1:12" s="181" customFormat="1">
      <c r="A134" s="256">
        <v>5.2</v>
      </c>
      <c r="B134" s="272" t="s">
        <v>69</v>
      </c>
      <c r="C134" s="172"/>
      <c r="D134" s="142"/>
      <c r="E134" s="142"/>
      <c r="F134" s="142"/>
      <c r="G134" s="142"/>
      <c r="H134" s="142"/>
      <c r="I134" s="172"/>
      <c r="J134" s="150"/>
      <c r="K134" s="173"/>
    </row>
    <row r="135" spans="1:12" s="181" customFormat="1">
      <c r="A135" s="256"/>
      <c r="B135" s="144"/>
      <c r="C135" s="172"/>
      <c r="D135" s="142"/>
      <c r="E135" s="142"/>
      <c r="F135" s="142"/>
      <c r="G135" s="142"/>
      <c r="H135" s="142"/>
      <c r="I135" s="172"/>
      <c r="J135" s="150"/>
      <c r="K135" s="173"/>
    </row>
    <row r="136" spans="1:12" s="181" customFormat="1" ht="25.5">
      <c r="A136" s="171">
        <v>5.21</v>
      </c>
      <c r="B136" s="144" t="s">
        <v>326</v>
      </c>
      <c r="C136" s="172" t="s">
        <v>9</v>
      </c>
      <c r="D136" s="144"/>
      <c r="E136" s="144"/>
      <c r="F136" s="144"/>
      <c r="G136" s="144"/>
      <c r="H136" s="144"/>
      <c r="I136" s="145">
        <v>1</v>
      </c>
      <c r="J136" s="150"/>
      <c r="K136" s="173">
        <f>I136*J136</f>
        <v>0</v>
      </c>
      <c r="L136" s="215"/>
    </row>
    <row r="137" spans="1:12" s="181" customFormat="1">
      <c r="A137" s="171"/>
      <c r="B137" s="144"/>
      <c r="C137" s="172"/>
      <c r="D137" s="144"/>
      <c r="E137" s="144"/>
      <c r="F137" s="144"/>
      <c r="G137" s="144"/>
      <c r="H137" s="144"/>
      <c r="I137" s="145"/>
      <c r="J137" s="150"/>
      <c r="K137" s="173"/>
    </row>
    <row r="138" spans="1:12" s="181" customFormat="1">
      <c r="A138" s="256">
        <v>5.3</v>
      </c>
      <c r="B138" s="258" t="s">
        <v>70</v>
      </c>
      <c r="C138" s="172"/>
      <c r="D138" s="144"/>
      <c r="E138" s="144"/>
      <c r="F138" s="144"/>
      <c r="G138" s="144"/>
      <c r="H138" s="144"/>
      <c r="I138" s="145"/>
      <c r="J138" s="150"/>
      <c r="K138" s="173"/>
    </row>
    <row r="139" spans="1:12" s="181" customFormat="1">
      <c r="A139" s="171"/>
      <c r="B139" s="273"/>
      <c r="C139" s="172"/>
      <c r="D139" s="144"/>
      <c r="E139" s="144"/>
      <c r="F139" s="144"/>
      <c r="G139" s="144"/>
      <c r="H139" s="144"/>
      <c r="I139" s="145"/>
      <c r="J139" s="150"/>
      <c r="K139" s="173"/>
    </row>
    <row r="140" spans="1:12" s="181" customFormat="1" ht="63.75">
      <c r="A140" s="171"/>
      <c r="B140" s="46" t="s">
        <v>158</v>
      </c>
      <c r="C140" s="172"/>
      <c r="D140" s="144"/>
      <c r="E140" s="144"/>
      <c r="F140" s="144"/>
      <c r="G140" s="144"/>
      <c r="H140" s="144"/>
      <c r="I140" s="145"/>
      <c r="J140" s="150"/>
      <c r="K140" s="173"/>
    </row>
    <row r="141" spans="1:12" s="181" customFormat="1">
      <c r="A141" s="171"/>
      <c r="B141" s="144"/>
      <c r="C141" s="172"/>
      <c r="D141" s="144"/>
      <c r="E141" s="144"/>
      <c r="F141" s="144"/>
      <c r="G141" s="144"/>
      <c r="H141" s="144"/>
      <c r="I141" s="145"/>
      <c r="J141" s="150"/>
      <c r="K141" s="173"/>
    </row>
    <row r="142" spans="1:12" s="181" customFormat="1">
      <c r="A142" s="171"/>
      <c r="B142" s="46" t="s">
        <v>113</v>
      </c>
      <c r="C142" s="172"/>
      <c r="D142" s="144"/>
      <c r="E142" s="144"/>
      <c r="F142" s="144"/>
      <c r="G142" s="144"/>
      <c r="H142" s="144"/>
      <c r="I142" s="145"/>
      <c r="J142" s="150"/>
      <c r="K142" s="173"/>
    </row>
    <row r="143" spans="1:12" s="181" customFormat="1">
      <c r="A143" s="171"/>
      <c r="B143" s="273"/>
      <c r="C143" s="172"/>
      <c r="D143" s="144"/>
      <c r="E143" s="144"/>
      <c r="F143" s="144"/>
      <c r="G143" s="144"/>
      <c r="H143" s="144"/>
      <c r="I143" s="145"/>
      <c r="J143" s="150"/>
      <c r="K143" s="173"/>
    </row>
    <row r="144" spans="1:12" s="181" customFormat="1" ht="38.25">
      <c r="A144" s="171">
        <v>5.31</v>
      </c>
      <c r="B144" s="46" t="s">
        <v>354</v>
      </c>
      <c r="C144" s="172" t="s">
        <v>3</v>
      </c>
      <c r="D144" s="144"/>
      <c r="E144" s="144"/>
      <c r="F144" s="144"/>
      <c r="G144" s="144"/>
      <c r="H144" s="144"/>
      <c r="I144" s="145">
        <v>5</v>
      </c>
      <c r="J144" s="150"/>
      <c r="K144" s="173">
        <f>I144*J144</f>
        <v>0</v>
      </c>
    </row>
    <row r="145" spans="1:11" s="181" customFormat="1">
      <c r="A145" s="171"/>
      <c r="B145" s="46"/>
      <c r="C145" s="172"/>
      <c r="D145" s="144"/>
      <c r="E145" s="144"/>
      <c r="F145" s="144"/>
      <c r="G145" s="144"/>
      <c r="H145" s="144"/>
      <c r="I145" s="145"/>
      <c r="J145" s="150"/>
      <c r="K145" s="173"/>
    </row>
    <row r="146" spans="1:11" s="255" customFormat="1" ht="15">
      <c r="A146" s="420" t="s">
        <v>86</v>
      </c>
      <c r="B146" s="421"/>
      <c r="C146" s="421"/>
      <c r="D146" s="421"/>
      <c r="E146" s="421"/>
      <c r="F146" s="421"/>
      <c r="G146" s="421"/>
      <c r="H146" s="421"/>
      <c r="I146" s="421"/>
      <c r="J146" s="422"/>
      <c r="K146" s="254">
        <f>SUM(K114:K145)</f>
        <v>0</v>
      </c>
    </row>
    <row r="147" spans="1:11" s="181" customFormat="1">
      <c r="A147" s="256"/>
      <c r="B147" s="257"/>
      <c r="C147" s="172"/>
      <c r="D147" s="142"/>
      <c r="E147" s="142"/>
      <c r="F147" s="142"/>
      <c r="G147" s="142"/>
      <c r="H147" s="142"/>
      <c r="I147" s="172"/>
      <c r="J147" s="150"/>
      <c r="K147" s="173"/>
    </row>
    <row r="148" spans="1:11" s="181" customFormat="1">
      <c r="A148" s="256">
        <v>6</v>
      </c>
      <c r="B148" s="258" t="s">
        <v>90</v>
      </c>
      <c r="C148" s="172"/>
      <c r="D148" s="142"/>
      <c r="E148" s="142"/>
      <c r="F148" s="142"/>
      <c r="G148" s="142"/>
      <c r="H148" s="142"/>
      <c r="I148" s="172"/>
      <c r="J148" s="150"/>
      <c r="K148" s="173"/>
    </row>
    <row r="149" spans="1:11" s="181" customFormat="1">
      <c r="A149" s="256"/>
      <c r="B149" s="144"/>
      <c r="C149" s="172"/>
      <c r="D149" s="142"/>
      <c r="E149" s="142"/>
      <c r="F149" s="142"/>
      <c r="G149" s="142"/>
      <c r="H149" s="142"/>
      <c r="I149" s="172"/>
      <c r="J149" s="150"/>
      <c r="K149" s="173"/>
    </row>
    <row r="150" spans="1:11" s="181" customFormat="1" ht="51">
      <c r="A150" s="171">
        <v>6.1</v>
      </c>
      <c r="B150" s="46" t="s">
        <v>296</v>
      </c>
      <c r="C150" s="172" t="s">
        <v>9</v>
      </c>
      <c r="D150" s="142"/>
      <c r="E150" s="142"/>
      <c r="F150" s="142"/>
      <c r="G150" s="142"/>
      <c r="H150" s="142"/>
      <c r="I150" s="172">
        <v>1</v>
      </c>
      <c r="J150" s="150"/>
      <c r="K150" s="173">
        <f>I150*J150</f>
        <v>0</v>
      </c>
    </row>
    <row r="151" spans="1:11" s="181" customFormat="1">
      <c r="A151" s="256"/>
      <c r="B151" s="142"/>
      <c r="C151" s="172"/>
      <c r="D151" s="142"/>
      <c r="E151" s="142"/>
      <c r="F151" s="142"/>
      <c r="G151" s="142"/>
      <c r="H151" s="142"/>
      <c r="I151" s="172"/>
      <c r="J151" s="150"/>
      <c r="K151" s="173"/>
    </row>
    <row r="152" spans="1:11" s="181" customFormat="1" ht="51">
      <c r="A152" s="171">
        <v>6.2</v>
      </c>
      <c r="B152" s="144" t="s">
        <v>297</v>
      </c>
      <c r="C152" s="172" t="s">
        <v>9</v>
      </c>
      <c r="D152" s="175"/>
      <c r="E152" s="175"/>
      <c r="F152" s="144"/>
      <c r="G152" s="144"/>
      <c r="H152" s="144"/>
      <c r="I152" s="145">
        <v>1</v>
      </c>
      <c r="J152" s="150"/>
      <c r="K152" s="173">
        <f>I152*J152</f>
        <v>0</v>
      </c>
    </row>
    <row r="153" spans="1:11" s="181" customFormat="1">
      <c r="A153" s="232"/>
      <c r="B153" s="180"/>
      <c r="C153" s="233"/>
      <c r="D153" s="198"/>
      <c r="E153" s="198"/>
      <c r="F153" s="180"/>
      <c r="G153" s="180"/>
      <c r="H153" s="180"/>
      <c r="I153" s="234"/>
      <c r="J153" s="231"/>
      <c r="K153" s="173"/>
    </row>
    <row r="154" spans="1:11" s="181" customFormat="1" ht="38.25">
      <c r="A154" s="232">
        <v>6.3</v>
      </c>
      <c r="B154" s="180" t="s">
        <v>362</v>
      </c>
      <c r="C154" s="233" t="s">
        <v>9</v>
      </c>
      <c r="D154" s="198"/>
      <c r="E154" s="198"/>
      <c r="F154" s="180"/>
      <c r="G154" s="180"/>
      <c r="H154" s="180"/>
      <c r="I154" s="234">
        <v>2</v>
      </c>
      <c r="J154" s="231"/>
      <c r="K154" s="173">
        <f>I154*J154</f>
        <v>0</v>
      </c>
    </row>
    <row r="155" spans="1:11" s="181" customFormat="1">
      <c r="A155" s="232"/>
      <c r="B155" s="180"/>
      <c r="C155" s="233"/>
      <c r="D155" s="198"/>
      <c r="E155" s="198"/>
      <c r="F155" s="180"/>
      <c r="G155" s="180"/>
      <c r="H155" s="180"/>
      <c r="I155" s="234"/>
      <c r="J155" s="231"/>
      <c r="K155" s="261"/>
    </row>
    <row r="156" spans="1:11" s="255" customFormat="1" ht="15">
      <c r="A156" s="420" t="s">
        <v>87</v>
      </c>
      <c r="B156" s="421"/>
      <c r="C156" s="421"/>
      <c r="D156" s="421"/>
      <c r="E156" s="421"/>
      <c r="F156" s="421"/>
      <c r="G156" s="421"/>
      <c r="H156" s="421"/>
      <c r="I156" s="421"/>
      <c r="J156" s="422"/>
      <c r="K156" s="254">
        <f>SUM(K147:K155)</f>
        <v>0</v>
      </c>
    </row>
    <row r="157" spans="1:11" s="255" customFormat="1" ht="15">
      <c r="A157" s="256"/>
      <c r="B157" s="144"/>
      <c r="C157" s="172"/>
      <c r="D157" s="144"/>
      <c r="E157" s="144"/>
      <c r="F157" s="144"/>
      <c r="G157" s="144"/>
      <c r="H157" s="144"/>
      <c r="I157" s="145"/>
      <c r="J157" s="144"/>
      <c r="K157" s="173"/>
    </row>
    <row r="158" spans="1:11">
      <c r="A158" s="256">
        <v>7</v>
      </c>
      <c r="B158" s="258" t="s">
        <v>172</v>
      </c>
      <c r="C158" s="172"/>
      <c r="D158" s="142"/>
      <c r="E158" s="142"/>
      <c r="F158" s="142"/>
      <c r="G158" s="142"/>
      <c r="H158" s="144"/>
      <c r="I158" s="172"/>
      <c r="J158" s="150"/>
      <c r="K158" s="173"/>
    </row>
    <row r="159" spans="1:11">
      <c r="A159" s="256"/>
      <c r="B159" s="144"/>
      <c r="C159" s="172"/>
      <c r="D159" s="142"/>
      <c r="E159" s="142"/>
      <c r="F159" s="142"/>
      <c r="G159" s="142"/>
      <c r="H159" s="144"/>
      <c r="I159" s="172"/>
      <c r="J159" s="150"/>
      <c r="K159" s="173"/>
    </row>
    <row r="160" spans="1:11">
      <c r="A160" s="256">
        <v>7.1</v>
      </c>
      <c r="B160" s="258" t="s">
        <v>137</v>
      </c>
      <c r="C160" s="172"/>
      <c r="D160" s="142"/>
      <c r="E160" s="142"/>
      <c r="F160" s="142"/>
      <c r="G160" s="142"/>
      <c r="H160" s="144"/>
      <c r="I160" s="172"/>
      <c r="J160" s="150"/>
      <c r="K160" s="173"/>
    </row>
    <row r="161" spans="1:11">
      <c r="A161" s="256"/>
      <c r="B161" s="144"/>
      <c r="C161" s="172"/>
      <c r="D161" s="142"/>
      <c r="E161" s="142"/>
      <c r="F161" s="142"/>
      <c r="G161" s="142"/>
      <c r="H161" s="144"/>
      <c r="I161" s="172"/>
      <c r="J161" s="150"/>
      <c r="K161" s="173"/>
    </row>
    <row r="162" spans="1:11" ht="38.25">
      <c r="A162" s="171">
        <v>7.11</v>
      </c>
      <c r="B162" s="144" t="s">
        <v>257</v>
      </c>
      <c r="C162" s="172" t="s">
        <v>33</v>
      </c>
      <c r="D162" s="142">
        <v>7</v>
      </c>
      <c r="E162" s="142">
        <v>3.5</v>
      </c>
      <c r="F162" s="142">
        <f>0.35+0.1+0.3</f>
        <v>0.75</v>
      </c>
      <c r="G162" s="142"/>
      <c r="H162" s="142" t="s">
        <v>328</v>
      </c>
      <c r="I162" s="210">
        <f>(2*(D162*E162))+(2*(D162*F163))+(2*(E163*F162))</f>
        <v>66.45</v>
      </c>
      <c r="J162" s="150"/>
      <c r="K162" s="173">
        <f>I162*J162</f>
        <v>0</v>
      </c>
    </row>
    <row r="163" spans="1:11">
      <c r="A163" s="171"/>
      <c r="B163" s="144"/>
      <c r="C163" s="172"/>
      <c r="D163" s="142"/>
      <c r="E163" s="142">
        <v>6.5</v>
      </c>
      <c r="F163" s="142">
        <f>0.35+0.1+0.1</f>
        <v>0.54999999999999993</v>
      </c>
      <c r="G163" s="142"/>
      <c r="H163" s="142"/>
      <c r="I163" s="172"/>
      <c r="J163" s="150"/>
      <c r="K163" s="173"/>
    </row>
    <row r="164" spans="1:11">
      <c r="A164" s="256">
        <v>7.2</v>
      </c>
      <c r="B164" s="258" t="s">
        <v>139</v>
      </c>
      <c r="C164" s="172"/>
      <c r="D164" s="142"/>
      <c r="E164" s="142"/>
      <c r="F164" s="142"/>
      <c r="G164" s="142"/>
      <c r="H164" s="274"/>
      <c r="I164" s="172"/>
      <c r="J164" s="150"/>
      <c r="K164" s="173"/>
    </row>
    <row r="165" spans="1:11">
      <c r="A165" s="171"/>
      <c r="B165" s="144"/>
      <c r="C165" s="172"/>
      <c r="D165" s="142"/>
      <c r="E165" s="142"/>
      <c r="F165" s="142"/>
      <c r="G165" s="142"/>
      <c r="H165" s="274"/>
      <c r="I165" s="172"/>
      <c r="J165" s="150"/>
      <c r="K165" s="173"/>
    </row>
    <row r="166" spans="1:11" ht="25.5">
      <c r="A166" s="171">
        <v>7.21</v>
      </c>
      <c r="B166" s="144" t="s">
        <v>329</v>
      </c>
      <c r="C166" s="172" t="s">
        <v>30</v>
      </c>
      <c r="D166" s="142">
        <v>6.5</v>
      </c>
      <c r="E166" s="142">
        <v>7</v>
      </c>
      <c r="F166" s="142">
        <v>0.3</v>
      </c>
      <c r="G166" s="142"/>
      <c r="H166" s="142" t="s">
        <v>331</v>
      </c>
      <c r="I166" s="210">
        <f>0.75*(D166*E166*F166)</f>
        <v>10.237500000000001</v>
      </c>
      <c r="J166" s="150"/>
      <c r="K166" s="173">
        <f>I166*J166</f>
        <v>0</v>
      </c>
    </row>
    <row r="167" spans="1:11">
      <c r="A167" s="171"/>
      <c r="B167" s="275"/>
      <c r="C167" s="172"/>
      <c r="D167" s="229"/>
      <c r="E167" s="229"/>
      <c r="F167" s="229"/>
      <c r="G167" s="229"/>
      <c r="H167" s="229"/>
      <c r="I167" s="145"/>
      <c r="J167" s="150"/>
      <c r="K167" s="173"/>
    </row>
    <row r="168" spans="1:11" ht="25.5">
      <c r="A168" s="171">
        <v>7.22</v>
      </c>
      <c r="B168" s="144" t="s">
        <v>247</v>
      </c>
      <c r="C168" s="172" t="s">
        <v>30</v>
      </c>
      <c r="D168" s="142">
        <f>D166</f>
        <v>6.5</v>
      </c>
      <c r="E168" s="142">
        <f>E166</f>
        <v>7</v>
      </c>
      <c r="F168" s="142">
        <v>0.1</v>
      </c>
      <c r="G168" s="142"/>
      <c r="H168" s="274"/>
      <c r="I168" s="210">
        <f>D168*E168*F168</f>
        <v>4.55</v>
      </c>
      <c r="J168" s="150"/>
      <c r="K168" s="173">
        <f>I168*J168</f>
        <v>0</v>
      </c>
    </row>
    <row r="169" spans="1:11">
      <c r="A169" s="171"/>
      <c r="B169" s="144"/>
      <c r="C169" s="172"/>
      <c r="D169" s="142"/>
      <c r="E169" s="142"/>
      <c r="F169" s="142"/>
      <c r="G169" s="142"/>
      <c r="H169" s="274"/>
      <c r="I169" s="172"/>
      <c r="J169" s="150"/>
      <c r="K169" s="173"/>
    </row>
    <row r="170" spans="1:11" ht="63.75">
      <c r="A170" s="171">
        <v>7.23</v>
      </c>
      <c r="B170" s="144" t="s">
        <v>330</v>
      </c>
      <c r="C170" s="172" t="s">
        <v>30</v>
      </c>
      <c r="D170" s="142">
        <f>D168</f>
        <v>6.5</v>
      </c>
      <c r="E170" s="142">
        <f>E168</f>
        <v>7</v>
      </c>
      <c r="F170" s="142">
        <v>0.3</v>
      </c>
      <c r="G170" s="142"/>
      <c r="H170" s="274"/>
      <c r="I170" s="210">
        <f>D170*E170*F170</f>
        <v>13.65</v>
      </c>
      <c r="J170" s="150"/>
      <c r="K170" s="173">
        <f>I170*J170</f>
        <v>0</v>
      </c>
    </row>
    <row r="171" spans="1:11">
      <c r="A171" s="171"/>
      <c r="B171" s="144"/>
      <c r="C171" s="172"/>
      <c r="D171" s="142"/>
      <c r="E171" s="142"/>
      <c r="F171" s="142"/>
      <c r="G171" s="142"/>
      <c r="H171" s="274"/>
      <c r="I171" s="172"/>
      <c r="J171" s="150"/>
      <c r="K171" s="173"/>
    </row>
    <row r="172" spans="1:11" s="255" customFormat="1" ht="15">
      <c r="A172" s="420" t="s">
        <v>110</v>
      </c>
      <c r="B172" s="421"/>
      <c r="C172" s="421"/>
      <c r="D172" s="421"/>
      <c r="E172" s="421"/>
      <c r="F172" s="421"/>
      <c r="G172" s="421"/>
      <c r="H172" s="421"/>
      <c r="I172" s="421"/>
      <c r="J172" s="422"/>
      <c r="K172" s="254">
        <f>SUM(K158:K171)</f>
        <v>0</v>
      </c>
    </row>
    <row r="173" spans="1:11" s="181" customFormat="1" ht="15" customHeight="1">
      <c r="A173" s="428"/>
      <c r="B173" s="429"/>
      <c r="C173" s="429"/>
      <c r="D173" s="429"/>
      <c r="E173" s="429"/>
      <c r="F173" s="429"/>
      <c r="G173" s="429"/>
      <c r="H173" s="429"/>
      <c r="I173" s="429"/>
      <c r="J173" s="429"/>
      <c r="K173" s="430"/>
    </row>
    <row r="174" spans="1:11" s="181" customFormat="1">
      <c r="A174" s="427" t="s">
        <v>88</v>
      </c>
      <c r="B174" s="427"/>
      <c r="C174" s="427"/>
      <c r="D174" s="427"/>
      <c r="E174" s="427"/>
      <c r="F174" s="427"/>
      <c r="G174" s="427"/>
      <c r="H174" s="427"/>
      <c r="I174" s="427"/>
      <c r="J174" s="427"/>
      <c r="K174" s="254">
        <f>K33+K67+K81+K113+K146+K156+K172</f>
        <v>0</v>
      </c>
    </row>
    <row r="175" spans="1:11" s="181" customFormat="1" ht="55.5" customHeight="1">
      <c r="A175" s="426" t="s">
        <v>163</v>
      </c>
      <c r="B175" s="426"/>
      <c r="C175" s="426"/>
      <c r="D175" s="426"/>
      <c r="E175" s="426"/>
      <c r="F175" s="426"/>
      <c r="G175" s="426"/>
      <c r="H175" s="426"/>
      <c r="I175" s="426"/>
      <c r="J175" s="426"/>
      <c r="K175" s="426"/>
    </row>
    <row r="177" spans="2:2">
      <c r="B177" s="277"/>
    </row>
  </sheetData>
  <mergeCells count="13">
    <mergeCell ref="A1:I1"/>
    <mergeCell ref="A67:J67"/>
    <mergeCell ref="D3:H3"/>
    <mergeCell ref="A2:K2"/>
    <mergeCell ref="A175:K175"/>
    <mergeCell ref="A174:J174"/>
    <mergeCell ref="A33:J33"/>
    <mergeCell ref="A81:J81"/>
    <mergeCell ref="A146:J146"/>
    <mergeCell ref="A156:J156"/>
    <mergeCell ref="A113:J113"/>
    <mergeCell ref="A173:K173"/>
    <mergeCell ref="A172:J172"/>
  </mergeCells>
  <pageMargins left="0.7" right="0.7" top="0.75" bottom="0.75" header="0.3" footer="0.3"/>
  <pageSetup scale="75" orientation="portrait" r:id="rId1"/>
  <rowBreaks count="1" manualBreakCount="1">
    <brk id="67" max="1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78"/>
  <sheetViews>
    <sheetView zoomScaleNormal="100" zoomScaleSheetLayoutView="100" workbookViewId="0">
      <selection sqref="A1:I1"/>
    </sheetView>
  </sheetViews>
  <sheetFormatPr defaultColWidth="9.140625" defaultRowHeight="14.25"/>
  <cols>
    <col min="1" max="1" width="9.28515625" style="276" customWidth="1"/>
    <col min="2" max="2" width="64.85546875" style="301" customWidth="1"/>
    <col min="3" max="3" width="9.7109375" style="278" customWidth="1"/>
    <col min="4" max="5" width="10.7109375" style="181" hidden="1" customWidth="1"/>
    <col min="6" max="6" width="6.85546875" style="181" hidden="1" customWidth="1"/>
    <col min="7" max="7" width="6.28515625" style="181" hidden="1" customWidth="1"/>
    <col min="8" max="8" width="41.42578125" style="181" hidden="1" customWidth="1"/>
    <col min="9" max="9" width="10.7109375" style="278" customWidth="1"/>
    <col min="10" max="10" width="17.28515625" style="278" customWidth="1"/>
    <col min="11" max="11" width="15.5703125" style="181" bestFit="1" customWidth="1"/>
    <col min="12" max="12" width="12" style="185" bestFit="1" customWidth="1"/>
    <col min="13" max="16384" width="9.140625" style="185"/>
  </cols>
  <sheetData>
    <row r="1" spans="1:11" ht="48.75" customHeight="1">
      <c r="A1" s="418" t="s">
        <v>80</v>
      </c>
      <c r="B1" s="419"/>
      <c r="C1" s="419"/>
      <c r="D1" s="419"/>
      <c r="E1" s="419"/>
      <c r="F1" s="419"/>
      <c r="G1" s="419"/>
      <c r="H1" s="419"/>
      <c r="I1" s="419"/>
      <c r="J1" s="241"/>
      <c r="K1" s="242"/>
    </row>
    <row r="2" spans="1:11" ht="14.25" customHeight="1">
      <c r="A2" s="431" t="s">
        <v>382</v>
      </c>
      <c r="B2" s="431"/>
      <c r="C2" s="431"/>
      <c r="D2" s="431"/>
      <c r="E2" s="431"/>
      <c r="F2" s="431"/>
      <c r="G2" s="431"/>
      <c r="H2" s="431"/>
      <c r="I2" s="431"/>
      <c r="J2" s="431"/>
      <c r="K2" s="431"/>
    </row>
    <row r="3" spans="1:11" ht="14.25" customHeight="1">
      <c r="A3" s="279" t="s">
        <v>0</v>
      </c>
      <c r="B3" s="280" t="s">
        <v>1</v>
      </c>
      <c r="C3" s="281" t="s">
        <v>2</v>
      </c>
      <c r="D3" s="432" t="s">
        <v>29</v>
      </c>
      <c r="E3" s="432"/>
      <c r="F3" s="432"/>
      <c r="G3" s="432"/>
      <c r="H3" s="432"/>
      <c r="I3" s="281" t="s">
        <v>79</v>
      </c>
      <c r="J3" s="281" t="s">
        <v>4</v>
      </c>
      <c r="K3" s="281" t="s">
        <v>5</v>
      </c>
    </row>
    <row r="4" spans="1:11" ht="14.25" customHeight="1">
      <c r="A4" s="279"/>
      <c r="B4" s="280"/>
      <c r="C4" s="281"/>
      <c r="D4" s="282"/>
      <c r="E4" s="282"/>
      <c r="F4" s="282"/>
      <c r="G4" s="282"/>
      <c r="H4" s="282"/>
      <c r="I4" s="281"/>
      <c r="J4" s="281"/>
      <c r="K4" s="281"/>
    </row>
    <row r="5" spans="1:11">
      <c r="A5" s="247">
        <v>1</v>
      </c>
      <c r="B5" s="248" t="s">
        <v>7</v>
      </c>
      <c r="C5" s="172"/>
      <c r="D5" s="174">
        <v>14</v>
      </c>
      <c r="E5" s="176">
        <v>5.9</v>
      </c>
      <c r="F5" s="176"/>
      <c r="G5" s="176"/>
      <c r="H5" s="176"/>
      <c r="I5" s="172"/>
      <c r="J5" s="150"/>
      <c r="K5" s="173"/>
    </row>
    <row r="6" spans="1:11" ht="15">
      <c r="A6" s="249"/>
      <c r="B6" s="248"/>
      <c r="C6" s="172"/>
      <c r="D6" s="283">
        <v>1.4</v>
      </c>
      <c r="E6" s="174">
        <v>5.9</v>
      </c>
      <c r="F6" s="174"/>
      <c r="G6" s="174"/>
      <c r="H6" s="142"/>
      <c r="I6" s="172"/>
      <c r="J6" s="150"/>
      <c r="K6" s="173"/>
    </row>
    <row r="7" spans="1:11" ht="38.25">
      <c r="A7" s="171"/>
      <c r="B7" s="144" t="s">
        <v>117</v>
      </c>
      <c r="C7" s="169"/>
      <c r="D7" s="174">
        <v>1.2</v>
      </c>
      <c r="E7" s="174">
        <v>1.4</v>
      </c>
      <c r="F7" s="174"/>
      <c r="G7" s="142"/>
      <c r="H7" s="142"/>
      <c r="I7" s="172"/>
      <c r="J7" s="169"/>
      <c r="K7" s="173"/>
    </row>
    <row r="8" spans="1:11">
      <c r="A8" s="171"/>
      <c r="B8" s="144"/>
      <c r="C8" s="169"/>
      <c r="D8" s="142"/>
      <c r="E8" s="142"/>
      <c r="F8" s="142"/>
      <c r="G8" s="142"/>
      <c r="H8" s="142"/>
      <c r="I8" s="172"/>
      <c r="J8" s="169"/>
      <c r="K8" s="173"/>
    </row>
    <row r="9" spans="1:11">
      <c r="A9" s="247">
        <v>1.1000000000000001</v>
      </c>
      <c r="B9" s="248" t="s">
        <v>133</v>
      </c>
      <c r="C9" s="169"/>
      <c r="D9" s="142"/>
      <c r="E9" s="142"/>
      <c r="F9" s="142"/>
      <c r="G9" s="142"/>
      <c r="H9" s="142"/>
      <c r="I9" s="172"/>
      <c r="J9" s="169"/>
      <c r="K9" s="173"/>
    </row>
    <row r="10" spans="1:11">
      <c r="A10" s="171"/>
      <c r="B10" s="144"/>
      <c r="C10" s="169"/>
      <c r="D10" s="229"/>
      <c r="E10" s="229"/>
      <c r="F10" s="229"/>
      <c r="G10" s="229"/>
      <c r="H10" s="229"/>
      <c r="I10" s="169"/>
      <c r="J10" s="169"/>
      <c r="K10" s="173"/>
    </row>
    <row r="11" spans="1:11" ht="38.25">
      <c r="A11" s="171">
        <v>1.1100000000000001</v>
      </c>
      <c r="B11" s="144" t="s">
        <v>357</v>
      </c>
      <c r="C11" s="169" t="s">
        <v>33</v>
      </c>
      <c r="D11" s="142">
        <f>D5+D6+0.4</f>
        <v>15.8</v>
      </c>
      <c r="E11" s="142">
        <f>E5+0.4</f>
        <v>6.3000000000000007</v>
      </c>
      <c r="F11" s="145">
        <f>D7*E7</f>
        <v>1.68</v>
      </c>
      <c r="G11" s="229"/>
      <c r="H11" s="229"/>
      <c r="I11" s="211">
        <f>(D11*E11)+F11</f>
        <v>101.22000000000003</v>
      </c>
      <c r="J11" s="150"/>
      <c r="K11" s="173">
        <f>I11*J11</f>
        <v>0</v>
      </c>
    </row>
    <row r="12" spans="1:11">
      <c r="A12" s="185"/>
      <c r="B12" s="144"/>
      <c r="C12" s="169"/>
      <c r="D12" s="229"/>
      <c r="E12" s="229"/>
      <c r="F12" s="229"/>
      <c r="G12" s="229"/>
      <c r="H12" s="229"/>
      <c r="I12" s="145"/>
      <c r="J12" s="169"/>
      <c r="K12" s="173"/>
    </row>
    <row r="13" spans="1:11">
      <c r="A13" s="247">
        <v>1.2</v>
      </c>
      <c r="B13" s="248" t="s">
        <v>134</v>
      </c>
      <c r="C13" s="169"/>
      <c r="D13" s="229"/>
      <c r="E13" s="229"/>
      <c r="F13" s="229"/>
      <c r="G13" s="229"/>
      <c r="H13" s="229"/>
      <c r="I13" s="145"/>
      <c r="J13" s="169"/>
      <c r="K13" s="173"/>
    </row>
    <row r="14" spans="1:11">
      <c r="A14" s="185"/>
      <c r="B14" s="144"/>
      <c r="C14" s="169"/>
      <c r="D14" s="229"/>
      <c r="E14" s="229"/>
      <c r="F14" s="229"/>
      <c r="G14" s="229"/>
      <c r="H14" s="229"/>
      <c r="I14" s="145"/>
      <c r="J14" s="169"/>
      <c r="K14" s="173"/>
    </row>
    <row r="15" spans="1:11" ht="38.25">
      <c r="A15" s="171"/>
      <c r="B15" s="144" t="s">
        <v>234</v>
      </c>
      <c r="C15" s="169"/>
      <c r="D15" s="229"/>
      <c r="E15" s="229"/>
      <c r="F15" s="229"/>
      <c r="G15" s="229"/>
      <c r="H15" s="229"/>
      <c r="I15" s="145"/>
      <c r="J15" s="169"/>
      <c r="K15" s="173"/>
    </row>
    <row r="16" spans="1:11">
      <c r="A16" s="171"/>
      <c r="B16" s="144"/>
      <c r="C16" s="169"/>
      <c r="D16" s="229"/>
      <c r="E16" s="229"/>
      <c r="F16" s="229"/>
      <c r="G16" s="229"/>
      <c r="H16" s="229"/>
      <c r="I16" s="145"/>
      <c r="J16" s="169"/>
      <c r="K16" s="173"/>
    </row>
    <row r="17" spans="1:11" ht="15.75">
      <c r="A17" s="171">
        <v>1.21</v>
      </c>
      <c r="B17" s="144" t="s">
        <v>39</v>
      </c>
      <c r="C17" s="169" t="s">
        <v>30</v>
      </c>
      <c r="D17" s="142">
        <f>D5+D6+0.4</f>
        <v>15.8</v>
      </c>
      <c r="E17" s="142">
        <f>E5+0.4</f>
        <v>6.3000000000000007</v>
      </c>
      <c r="F17" s="142">
        <f>D7*E7</f>
        <v>1.68</v>
      </c>
      <c r="G17" s="229"/>
      <c r="H17" s="229"/>
      <c r="I17" s="211">
        <f>(D17*E17)+F17</f>
        <v>101.22000000000003</v>
      </c>
      <c r="J17" s="150"/>
      <c r="K17" s="173">
        <f>I17*J17</f>
        <v>0</v>
      </c>
    </row>
    <row r="18" spans="1:11" ht="15.75" customHeight="1">
      <c r="A18" s="284"/>
      <c r="B18" s="144"/>
      <c r="C18" s="169"/>
      <c r="D18" s="229"/>
      <c r="E18" s="142"/>
      <c r="F18" s="142"/>
      <c r="G18" s="229"/>
      <c r="H18" s="229"/>
      <c r="I18" s="145"/>
      <c r="J18" s="169"/>
      <c r="K18" s="173"/>
    </row>
    <row r="19" spans="1:11" ht="15.75">
      <c r="A19" s="171">
        <v>1.22</v>
      </c>
      <c r="B19" s="144" t="s">
        <v>121</v>
      </c>
      <c r="C19" s="169" t="s">
        <v>30</v>
      </c>
      <c r="D19" s="271">
        <f>D5+D6+0.4</f>
        <v>15.8</v>
      </c>
      <c r="E19" s="142">
        <f>E5+0.4</f>
        <v>6.3000000000000007</v>
      </c>
      <c r="F19" s="142">
        <f>(D7*E7)</f>
        <v>1.68</v>
      </c>
      <c r="G19" s="229"/>
      <c r="H19" s="229"/>
      <c r="I19" s="211">
        <f>(D19*E19)+F19</f>
        <v>101.22000000000003</v>
      </c>
      <c r="J19" s="150"/>
      <c r="K19" s="173">
        <f>I19*J19</f>
        <v>0</v>
      </c>
    </row>
    <row r="20" spans="1:11" ht="17.25" customHeight="1">
      <c r="A20" s="171"/>
      <c r="B20" s="144"/>
      <c r="C20" s="169"/>
      <c r="D20" s="271"/>
      <c r="E20" s="142"/>
      <c r="F20" s="142"/>
      <c r="G20" s="229"/>
      <c r="H20" s="229"/>
      <c r="I20" s="145"/>
      <c r="J20" s="145"/>
      <c r="K20" s="173"/>
    </row>
    <row r="21" spans="1:11" ht="15.75">
      <c r="A21" s="171">
        <v>1.23</v>
      </c>
      <c r="B21" s="144" t="s">
        <v>119</v>
      </c>
      <c r="C21" s="169" t="s">
        <v>30</v>
      </c>
      <c r="D21" s="271">
        <f>D5+0.4</f>
        <v>14.4</v>
      </c>
      <c r="E21" s="142">
        <f>E5+0.4</f>
        <v>6.3000000000000007</v>
      </c>
      <c r="F21" s="142"/>
      <c r="G21" s="229"/>
      <c r="H21" s="229"/>
      <c r="I21" s="211">
        <f>D21*E21</f>
        <v>90.720000000000013</v>
      </c>
      <c r="J21" s="150"/>
      <c r="K21" s="173">
        <f>I21*J21</f>
        <v>0</v>
      </c>
    </row>
    <row r="22" spans="1:11">
      <c r="A22" s="171"/>
      <c r="B22" s="144"/>
      <c r="C22" s="169"/>
      <c r="D22" s="229"/>
      <c r="E22" s="229"/>
      <c r="F22" s="229"/>
      <c r="G22" s="229"/>
      <c r="H22" s="229"/>
      <c r="I22" s="145"/>
      <c r="J22" s="169"/>
      <c r="K22" s="173"/>
    </row>
    <row r="23" spans="1:11" ht="15.75">
      <c r="A23" s="250">
        <v>1.24</v>
      </c>
      <c r="B23" s="144" t="s">
        <v>380</v>
      </c>
      <c r="C23" s="169" t="s">
        <v>30</v>
      </c>
      <c r="D23" s="271">
        <f>D5+0.4</f>
        <v>14.4</v>
      </c>
      <c r="E23" s="142">
        <f>E5+0.4</f>
        <v>6.3000000000000007</v>
      </c>
      <c r="F23" s="142">
        <v>0.6</v>
      </c>
      <c r="G23" s="229"/>
      <c r="H23" s="229"/>
      <c r="I23" s="211">
        <f>D23*E23*F23</f>
        <v>54.432000000000009</v>
      </c>
      <c r="J23" s="150"/>
      <c r="K23" s="173">
        <f>I23*J23</f>
        <v>0</v>
      </c>
    </row>
    <row r="24" spans="1:11">
      <c r="A24" s="171"/>
      <c r="B24" s="144"/>
      <c r="C24" s="169"/>
      <c r="D24" s="229"/>
      <c r="E24" s="229"/>
      <c r="F24" s="229"/>
      <c r="G24" s="229"/>
      <c r="H24" s="229"/>
      <c r="I24" s="145"/>
      <c r="J24" s="169"/>
      <c r="K24" s="173"/>
    </row>
    <row r="25" spans="1:11" ht="38.25">
      <c r="A25" s="252">
        <v>1.25</v>
      </c>
      <c r="B25" s="144" t="s">
        <v>239</v>
      </c>
      <c r="C25" s="169" t="s">
        <v>30</v>
      </c>
      <c r="D25" s="229"/>
      <c r="E25" s="229"/>
      <c r="F25" s="229"/>
      <c r="G25" s="229"/>
      <c r="H25" s="229" t="s">
        <v>100</v>
      </c>
      <c r="I25" s="285">
        <f>I11*0.25+(30%*(SUM(I17:I23)))</f>
        <v>129.58260000000001</v>
      </c>
      <c r="J25" s="150"/>
      <c r="K25" s="173">
        <f>I25*J25</f>
        <v>0</v>
      </c>
    </row>
    <row r="26" spans="1:11">
      <c r="A26" s="286"/>
      <c r="B26" s="144"/>
      <c r="C26" s="169"/>
      <c r="D26" s="229"/>
      <c r="E26" s="229"/>
      <c r="F26" s="229"/>
      <c r="G26" s="229"/>
      <c r="H26" s="229"/>
      <c r="I26" s="169"/>
      <c r="J26" s="169"/>
      <c r="K26" s="173"/>
    </row>
    <row r="27" spans="1:11" ht="25.5">
      <c r="A27" s="252">
        <v>1.26</v>
      </c>
      <c r="B27" s="148" t="s">
        <v>264</v>
      </c>
      <c r="C27" s="172" t="s">
        <v>30</v>
      </c>
      <c r="D27" s="287"/>
      <c r="E27" s="287"/>
      <c r="F27" s="287"/>
      <c r="G27" s="287"/>
      <c r="H27" s="182" t="s">
        <v>155</v>
      </c>
      <c r="I27" s="285">
        <f>60%*(SUM($I17:$I23))</f>
        <v>208.55520000000004</v>
      </c>
      <c r="J27" s="150"/>
      <c r="K27" s="288">
        <f>I27*J27</f>
        <v>0</v>
      </c>
    </row>
    <row r="28" spans="1:11">
      <c r="A28" s="252"/>
      <c r="B28" s="289"/>
      <c r="C28" s="290"/>
      <c r="D28" s="291"/>
      <c r="E28" s="291"/>
      <c r="F28" s="291"/>
      <c r="G28" s="291"/>
      <c r="H28" s="148"/>
      <c r="I28" s="223"/>
      <c r="J28" s="292"/>
      <c r="K28" s="261"/>
    </row>
    <row r="29" spans="1:11" ht="15.75">
      <c r="A29" s="252">
        <v>1.27</v>
      </c>
      <c r="B29" s="148" t="s">
        <v>31</v>
      </c>
      <c r="C29" s="172" t="s">
        <v>30</v>
      </c>
      <c r="D29" s="287"/>
      <c r="E29" s="287"/>
      <c r="F29" s="287"/>
      <c r="G29" s="287"/>
      <c r="H29" s="182" t="s">
        <v>114</v>
      </c>
      <c r="I29" s="227">
        <f>30%*(SUM($I17:$I23))</f>
        <v>104.27760000000002</v>
      </c>
      <c r="J29" s="150"/>
      <c r="K29" s="173">
        <f>I29*J29</f>
        <v>0</v>
      </c>
    </row>
    <row r="30" spans="1:11">
      <c r="A30" s="185"/>
      <c r="B30" s="148"/>
      <c r="C30" s="293"/>
      <c r="D30" s="287"/>
      <c r="E30" s="287"/>
      <c r="F30" s="287"/>
      <c r="G30" s="287"/>
      <c r="H30" s="148"/>
      <c r="I30" s="223"/>
      <c r="J30" s="150"/>
      <c r="K30" s="173"/>
    </row>
    <row r="31" spans="1:11" ht="15.75">
      <c r="A31" s="252">
        <v>1.28</v>
      </c>
      <c r="B31" s="148" t="s">
        <v>32</v>
      </c>
      <c r="C31" s="172" t="s">
        <v>30</v>
      </c>
      <c r="D31" s="287"/>
      <c r="E31" s="287"/>
      <c r="F31" s="287"/>
      <c r="G31" s="287"/>
      <c r="H31" s="182" t="s">
        <v>332</v>
      </c>
      <c r="I31" s="227">
        <f>10%*(SUM($I17:$I23))</f>
        <v>34.759200000000014</v>
      </c>
      <c r="J31" s="150"/>
      <c r="K31" s="173">
        <f>I31*J31</f>
        <v>0</v>
      </c>
    </row>
    <row r="32" spans="1:11">
      <c r="A32" s="253"/>
      <c r="B32" s="148"/>
      <c r="C32" s="293"/>
      <c r="D32" s="287"/>
      <c r="E32" s="287"/>
      <c r="F32" s="287"/>
      <c r="G32" s="287"/>
      <c r="H32" s="287"/>
      <c r="I32" s="293"/>
      <c r="J32" s="169"/>
      <c r="K32" s="173"/>
    </row>
    <row r="33" spans="1:11">
      <c r="A33" s="247">
        <v>1.3</v>
      </c>
      <c r="B33" s="248" t="s">
        <v>135</v>
      </c>
      <c r="C33" s="293"/>
      <c r="D33" s="287"/>
      <c r="E33" s="287"/>
      <c r="F33" s="287"/>
      <c r="G33" s="287"/>
      <c r="H33" s="287"/>
      <c r="I33" s="293"/>
      <c r="J33" s="169"/>
      <c r="K33" s="173"/>
    </row>
    <row r="34" spans="1:11">
      <c r="A34" s="253"/>
      <c r="B34" s="148"/>
      <c r="C34" s="293"/>
      <c r="D34" s="287"/>
      <c r="E34" s="287"/>
      <c r="F34" s="287"/>
      <c r="G34" s="287"/>
      <c r="H34" s="287"/>
      <c r="I34" s="293"/>
      <c r="J34" s="169"/>
      <c r="K34" s="173"/>
    </row>
    <row r="35" spans="1:11" ht="27.75" customHeight="1">
      <c r="A35" s="171">
        <v>1.31</v>
      </c>
      <c r="B35" s="144" t="s">
        <v>299</v>
      </c>
      <c r="C35" s="172" t="s">
        <v>30</v>
      </c>
      <c r="D35" s="271"/>
      <c r="E35" s="271"/>
      <c r="F35" s="229"/>
      <c r="G35" s="229">
        <v>0.3</v>
      </c>
      <c r="H35" s="229"/>
      <c r="I35" s="285">
        <f>I11*G35</f>
        <v>30.366000000000007</v>
      </c>
      <c r="J35" s="150"/>
      <c r="K35" s="173">
        <f>I35*J35</f>
        <v>0</v>
      </c>
    </row>
    <row r="36" spans="1:11">
      <c r="A36" s="171"/>
      <c r="B36" s="144"/>
      <c r="C36" s="169"/>
      <c r="D36" s="229"/>
      <c r="E36" s="229"/>
      <c r="F36" s="229"/>
      <c r="G36" s="229"/>
      <c r="H36" s="229"/>
      <c r="I36" s="169"/>
      <c r="J36" s="169"/>
      <c r="K36" s="173"/>
    </row>
    <row r="37" spans="1:11" s="255" customFormat="1" ht="15">
      <c r="A37" s="420" t="s">
        <v>91</v>
      </c>
      <c r="B37" s="421"/>
      <c r="C37" s="421"/>
      <c r="D37" s="421"/>
      <c r="E37" s="421"/>
      <c r="F37" s="421"/>
      <c r="G37" s="421"/>
      <c r="H37" s="421"/>
      <c r="I37" s="421"/>
      <c r="J37" s="422"/>
      <c r="K37" s="254">
        <f>SUM(K5:K36)</f>
        <v>0</v>
      </c>
    </row>
    <row r="38" spans="1:11" s="181" customFormat="1">
      <c r="A38" s="246"/>
      <c r="B38" s="149"/>
      <c r="C38" s="176"/>
      <c r="D38" s="176"/>
      <c r="E38" s="176"/>
      <c r="F38" s="176"/>
      <c r="G38" s="176"/>
      <c r="H38" s="176"/>
      <c r="I38" s="176"/>
      <c r="J38" s="173"/>
      <c r="K38" s="173"/>
    </row>
    <row r="39" spans="1:11">
      <c r="A39" s="247">
        <v>2</v>
      </c>
      <c r="B39" s="248" t="s">
        <v>115</v>
      </c>
      <c r="C39" s="172"/>
      <c r="D39" s="142"/>
      <c r="E39" s="142"/>
      <c r="F39" s="142"/>
      <c r="G39" s="142"/>
      <c r="H39" s="142"/>
      <c r="I39" s="172"/>
      <c r="J39" s="150"/>
      <c r="K39" s="173"/>
    </row>
    <row r="40" spans="1:11">
      <c r="A40" s="256"/>
      <c r="B40" s="257"/>
      <c r="C40" s="172"/>
      <c r="D40" s="142"/>
      <c r="E40" s="142"/>
      <c r="F40" s="142"/>
      <c r="G40" s="142"/>
      <c r="H40" s="142"/>
      <c r="I40" s="172"/>
      <c r="J40" s="150"/>
      <c r="K40" s="173"/>
    </row>
    <row r="41" spans="1:11">
      <c r="A41" s="256">
        <v>2.1</v>
      </c>
      <c r="B41" s="258" t="s">
        <v>183</v>
      </c>
      <c r="C41" s="172"/>
      <c r="D41" s="142"/>
      <c r="E41" s="142"/>
      <c r="F41" s="142"/>
      <c r="G41" s="142"/>
      <c r="H41" s="142"/>
      <c r="I41" s="172"/>
      <c r="J41" s="150"/>
      <c r="K41" s="173"/>
    </row>
    <row r="42" spans="1:11">
      <c r="A42" s="256"/>
      <c r="B42" s="148"/>
      <c r="C42" s="172"/>
      <c r="D42" s="142"/>
      <c r="E42" s="142"/>
      <c r="F42" s="142"/>
      <c r="G42" s="142"/>
      <c r="H42" s="142"/>
      <c r="I42" s="172"/>
      <c r="J42" s="150"/>
      <c r="K42" s="173"/>
    </row>
    <row r="43" spans="1:11" ht="18" customHeight="1">
      <c r="A43" s="293">
        <v>2.11</v>
      </c>
      <c r="B43" s="148" t="s">
        <v>265</v>
      </c>
      <c r="C43" s="172" t="s">
        <v>33</v>
      </c>
      <c r="D43" s="142"/>
      <c r="E43" s="142"/>
      <c r="F43" s="142"/>
      <c r="G43" s="142"/>
      <c r="H43" s="142"/>
      <c r="I43" s="285">
        <f>(16.4*6.3)</f>
        <v>103.32</v>
      </c>
      <c r="J43" s="150"/>
      <c r="K43" s="173">
        <f>I43*J43</f>
        <v>0</v>
      </c>
    </row>
    <row r="44" spans="1:11">
      <c r="A44" s="256"/>
      <c r="B44" s="294"/>
      <c r="C44" s="172"/>
      <c r="D44" s="142"/>
      <c r="E44" s="142"/>
      <c r="F44" s="142"/>
      <c r="G44" s="142"/>
      <c r="H44" s="142"/>
      <c r="I44" s="172"/>
      <c r="J44" s="150"/>
      <c r="K44" s="173"/>
    </row>
    <row r="45" spans="1:11">
      <c r="A45" s="247">
        <v>2.2000000000000002</v>
      </c>
      <c r="B45" s="248" t="s">
        <v>44</v>
      </c>
      <c r="C45" s="172"/>
      <c r="D45" s="142"/>
      <c r="E45" s="142"/>
      <c r="F45" s="142"/>
      <c r="G45" s="142"/>
      <c r="H45" s="142"/>
      <c r="I45" s="172"/>
      <c r="J45" s="150"/>
      <c r="K45" s="173"/>
    </row>
    <row r="46" spans="1:11" ht="15">
      <c r="A46" s="247"/>
      <c r="B46" s="295"/>
      <c r="C46" s="172"/>
      <c r="D46" s="142"/>
      <c r="E46" s="142"/>
      <c r="F46" s="142"/>
      <c r="G46" s="142"/>
      <c r="H46" s="142"/>
      <c r="I46" s="172"/>
      <c r="J46" s="150"/>
      <c r="K46" s="173"/>
    </row>
    <row r="47" spans="1:11" ht="55.5" customHeight="1">
      <c r="A47" s="171">
        <v>2.21</v>
      </c>
      <c r="B47" s="144" t="s">
        <v>266</v>
      </c>
      <c r="C47" s="172" t="s">
        <v>33</v>
      </c>
      <c r="D47" s="142"/>
      <c r="E47" s="142"/>
      <c r="F47" s="142"/>
      <c r="G47" s="142"/>
      <c r="H47" s="142" t="s">
        <v>334</v>
      </c>
      <c r="I47" s="210">
        <f>I43+(D49*F49)</f>
        <v>105.11999999999999</v>
      </c>
      <c r="J47" s="150"/>
      <c r="K47" s="173">
        <f>I47*J47</f>
        <v>0</v>
      </c>
    </row>
    <row r="48" spans="1:11">
      <c r="A48" s="171"/>
      <c r="B48" s="144"/>
      <c r="C48" s="172"/>
      <c r="D48" s="142"/>
      <c r="E48" s="142"/>
      <c r="F48" s="142"/>
      <c r="G48" s="142"/>
      <c r="H48" s="142"/>
      <c r="I48" s="172"/>
      <c r="J48" s="150"/>
      <c r="K48" s="173"/>
    </row>
    <row r="49" spans="1:11" ht="25.5">
      <c r="A49" s="171">
        <v>2.2200000000000002</v>
      </c>
      <c r="B49" s="148" t="s">
        <v>152</v>
      </c>
      <c r="C49" s="172" t="s">
        <v>10</v>
      </c>
      <c r="D49" s="142">
        <v>3</v>
      </c>
      <c r="E49" s="142">
        <v>0.2</v>
      </c>
      <c r="F49" s="142">
        <v>0.6</v>
      </c>
      <c r="G49" s="142"/>
      <c r="H49" s="142" t="s">
        <v>351</v>
      </c>
      <c r="I49" s="210">
        <f>D49*E49*F49</f>
        <v>0.36000000000000004</v>
      </c>
      <c r="J49" s="150"/>
      <c r="K49" s="173">
        <f>I49*J49</f>
        <v>0</v>
      </c>
    </row>
    <row r="50" spans="1:11">
      <c r="A50" s="171"/>
      <c r="B50" s="148"/>
      <c r="C50" s="172"/>
      <c r="D50" s="142"/>
      <c r="E50" s="142"/>
      <c r="F50" s="142"/>
      <c r="G50" s="142"/>
      <c r="H50" s="142"/>
      <c r="I50" s="172"/>
      <c r="J50" s="150"/>
      <c r="K50" s="173"/>
    </row>
    <row r="51" spans="1:11" ht="57" customHeight="1">
      <c r="A51" s="171">
        <v>2.23</v>
      </c>
      <c r="B51" s="144" t="s">
        <v>267</v>
      </c>
      <c r="C51" s="172" t="s">
        <v>10</v>
      </c>
      <c r="D51" s="142"/>
      <c r="E51" s="142"/>
      <c r="G51" s="142"/>
      <c r="H51" s="142"/>
      <c r="I51" s="210">
        <f>I47*0.2</f>
        <v>21.024000000000001</v>
      </c>
      <c r="J51" s="150"/>
      <c r="K51" s="173">
        <f>I51*J51</f>
        <v>0</v>
      </c>
    </row>
    <row r="52" spans="1:11">
      <c r="A52" s="171"/>
      <c r="B52" s="257"/>
      <c r="C52" s="172"/>
      <c r="D52" s="142"/>
      <c r="E52" s="142"/>
      <c r="F52" s="142"/>
      <c r="G52" s="142"/>
      <c r="H52" s="142"/>
      <c r="I52" s="172"/>
      <c r="J52" s="150"/>
      <c r="K52" s="173"/>
    </row>
    <row r="53" spans="1:11" s="181" customFormat="1" ht="25.5">
      <c r="A53" s="171">
        <v>2.2400000000000002</v>
      </c>
      <c r="B53" s="148" t="s">
        <v>153</v>
      </c>
      <c r="C53" s="172" t="s">
        <v>10</v>
      </c>
      <c r="D53" s="142">
        <v>0.2</v>
      </c>
      <c r="E53" s="142">
        <v>0.2</v>
      </c>
      <c r="F53" s="142">
        <v>3.15</v>
      </c>
      <c r="G53" s="142">
        <v>21</v>
      </c>
      <c r="H53" s="142" t="s">
        <v>333</v>
      </c>
      <c r="I53" s="210">
        <f>D53*E53*F53*G53</f>
        <v>2.6460000000000008</v>
      </c>
      <c r="J53" s="150"/>
      <c r="K53" s="173">
        <f>I53*J53</f>
        <v>0</v>
      </c>
    </row>
    <row r="54" spans="1:11" s="181" customFormat="1">
      <c r="A54" s="171"/>
      <c r="B54" s="148"/>
      <c r="C54" s="172"/>
      <c r="D54" s="142"/>
      <c r="E54" s="142"/>
      <c r="F54" s="142"/>
      <c r="G54" s="142"/>
      <c r="H54" s="142"/>
      <c r="I54" s="172"/>
      <c r="J54" s="150"/>
      <c r="K54" s="173"/>
    </row>
    <row r="55" spans="1:11" ht="25.5">
      <c r="A55" s="171">
        <v>2.25</v>
      </c>
      <c r="B55" s="144" t="s">
        <v>235</v>
      </c>
      <c r="C55" s="172" t="s">
        <v>10</v>
      </c>
      <c r="D55" s="142">
        <f>2*5.9*0.3*0.2</f>
        <v>0.70800000000000007</v>
      </c>
      <c r="E55" s="142">
        <f>3*1.6*0.2*0.3</f>
        <v>0.28800000000000003</v>
      </c>
      <c r="F55" s="142"/>
      <c r="G55" s="142"/>
      <c r="H55" s="142"/>
      <c r="I55" s="210">
        <f>D55+E55</f>
        <v>0.99600000000000011</v>
      </c>
      <c r="J55" s="150"/>
      <c r="K55" s="173">
        <f>I55*J55</f>
        <v>0</v>
      </c>
    </row>
    <row r="56" spans="1:11">
      <c r="A56" s="171"/>
      <c r="B56" s="144"/>
      <c r="C56" s="172"/>
      <c r="D56" s="238"/>
      <c r="E56" s="142"/>
      <c r="F56" s="142"/>
      <c r="G56" s="142"/>
      <c r="H56" s="142"/>
      <c r="I56" s="210"/>
      <c r="J56" s="150"/>
      <c r="K56" s="173"/>
    </row>
    <row r="57" spans="1:11" ht="25.5">
      <c r="A57" s="171">
        <v>2.2599999999999998</v>
      </c>
      <c r="B57" s="144" t="s">
        <v>379</v>
      </c>
      <c r="C57" s="172"/>
      <c r="D57" s="142">
        <v>1.6</v>
      </c>
      <c r="E57" s="142">
        <v>5.9</v>
      </c>
      <c r="F57" s="142">
        <v>0.15</v>
      </c>
      <c r="G57" s="142"/>
      <c r="H57" s="142"/>
      <c r="I57" s="210">
        <f>D57*E57*F57</f>
        <v>1.4160000000000001</v>
      </c>
      <c r="J57" s="150"/>
      <c r="K57" s="173">
        <f>I57*J57</f>
        <v>0</v>
      </c>
    </row>
    <row r="58" spans="1:11">
      <c r="A58" s="171"/>
      <c r="B58" s="144"/>
      <c r="C58" s="172"/>
      <c r="E58" s="296"/>
      <c r="F58" s="142"/>
      <c r="G58" s="142"/>
      <c r="H58" s="142"/>
      <c r="I58" s="172"/>
      <c r="J58" s="150"/>
      <c r="K58" s="173"/>
    </row>
    <row r="59" spans="1:11">
      <c r="A59" s="256">
        <v>2.2999999999999998</v>
      </c>
      <c r="B59" s="258" t="s">
        <v>65</v>
      </c>
      <c r="C59" s="172"/>
      <c r="D59" s="142"/>
      <c r="E59" s="142"/>
      <c r="F59" s="142"/>
      <c r="G59" s="142"/>
      <c r="H59" s="142"/>
      <c r="I59" s="172"/>
      <c r="J59" s="150"/>
      <c r="K59" s="173"/>
    </row>
    <row r="60" spans="1:11">
      <c r="A60" s="256"/>
      <c r="B60" s="258"/>
      <c r="C60" s="172"/>
      <c r="D60" s="142"/>
      <c r="E60" s="142"/>
      <c r="F60" s="142"/>
      <c r="G60" s="142"/>
      <c r="H60" s="142"/>
      <c r="I60" s="172"/>
      <c r="J60" s="150"/>
      <c r="K60" s="173"/>
    </row>
    <row r="61" spans="1:11" ht="51">
      <c r="A61" s="171">
        <v>2.31</v>
      </c>
      <c r="B61" s="148" t="s">
        <v>278</v>
      </c>
      <c r="C61" s="172" t="s">
        <v>33</v>
      </c>
      <c r="D61" s="142"/>
      <c r="E61" s="142"/>
      <c r="F61" s="142"/>
      <c r="G61" s="142"/>
      <c r="H61" s="142"/>
      <c r="I61" s="210">
        <f>I51/0.2</f>
        <v>105.12</v>
      </c>
      <c r="J61" s="150"/>
      <c r="K61" s="173">
        <f>I61*J61</f>
        <v>0</v>
      </c>
    </row>
    <row r="62" spans="1:11">
      <c r="A62" s="171"/>
      <c r="B62" s="148"/>
      <c r="C62" s="172"/>
      <c r="D62" s="142"/>
      <c r="E62" s="142"/>
      <c r="F62" s="142"/>
      <c r="G62" s="142"/>
      <c r="H62" s="142"/>
      <c r="I62" s="172"/>
      <c r="J62" s="150"/>
      <c r="K62" s="173"/>
    </row>
    <row r="63" spans="1:11">
      <c r="A63" s="171">
        <v>2.3199999999999998</v>
      </c>
      <c r="B63" s="148" t="s">
        <v>41</v>
      </c>
      <c r="C63" s="172" t="s">
        <v>34</v>
      </c>
      <c r="D63" s="142"/>
      <c r="E63" s="142"/>
      <c r="F63" s="142"/>
      <c r="G63" s="142"/>
      <c r="H63" s="142"/>
      <c r="I63" s="210">
        <v>678</v>
      </c>
      <c r="J63" s="150"/>
      <c r="K63" s="173">
        <f>I63*J63</f>
        <v>0</v>
      </c>
    </row>
    <row r="64" spans="1:11">
      <c r="A64" s="171"/>
      <c r="B64" s="148"/>
      <c r="C64" s="172"/>
      <c r="D64" s="142"/>
      <c r="E64" s="142"/>
      <c r="F64" s="142"/>
      <c r="G64" s="142"/>
      <c r="H64" s="142"/>
      <c r="I64" s="172"/>
      <c r="J64" s="150"/>
      <c r="K64" s="173"/>
    </row>
    <row r="65" spans="1:11">
      <c r="A65" s="256">
        <v>2.4</v>
      </c>
      <c r="B65" s="258" t="s">
        <v>98</v>
      </c>
      <c r="C65" s="172"/>
      <c r="D65" s="229"/>
      <c r="E65" s="229"/>
      <c r="F65" s="229"/>
      <c r="G65" s="229"/>
      <c r="H65" s="229"/>
      <c r="I65" s="142"/>
      <c r="J65" s="229"/>
      <c r="K65" s="173"/>
    </row>
    <row r="66" spans="1:11">
      <c r="A66" s="256"/>
      <c r="B66" s="258"/>
      <c r="C66" s="172"/>
      <c r="D66" s="229"/>
      <c r="E66" s="229"/>
      <c r="F66" s="229"/>
      <c r="G66" s="229"/>
      <c r="H66" s="229"/>
      <c r="I66" s="142"/>
      <c r="J66" s="229"/>
      <c r="K66" s="173"/>
    </row>
    <row r="67" spans="1:11" ht="15.75">
      <c r="A67" s="171">
        <v>2.41</v>
      </c>
      <c r="B67" s="148" t="s">
        <v>238</v>
      </c>
      <c r="C67" s="223" t="s">
        <v>33</v>
      </c>
      <c r="D67" s="142">
        <v>15</v>
      </c>
      <c r="E67" s="142">
        <v>5.5</v>
      </c>
      <c r="F67" s="142">
        <f>1*1</f>
        <v>1</v>
      </c>
      <c r="G67" s="229"/>
      <c r="H67" s="229"/>
      <c r="I67" s="210">
        <f>(D67*E67)+F67</f>
        <v>83.5</v>
      </c>
      <c r="J67" s="150"/>
      <c r="K67" s="173">
        <f>I67*J67</f>
        <v>0</v>
      </c>
    </row>
    <row r="68" spans="1:11">
      <c r="A68" s="171"/>
      <c r="B68" s="148"/>
      <c r="C68" s="172"/>
      <c r="D68" s="142"/>
      <c r="E68" s="142"/>
      <c r="F68" s="142"/>
      <c r="G68" s="142"/>
      <c r="H68" s="142"/>
      <c r="I68" s="172"/>
      <c r="J68" s="150"/>
      <c r="K68" s="173"/>
    </row>
    <row r="69" spans="1:11">
      <c r="A69" s="256">
        <v>2.5</v>
      </c>
      <c r="B69" s="258" t="s">
        <v>35</v>
      </c>
      <c r="C69" s="172"/>
      <c r="D69" s="229"/>
      <c r="E69" s="229"/>
      <c r="F69" s="229"/>
      <c r="G69" s="229"/>
      <c r="H69" s="229"/>
      <c r="I69" s="169"/>
      <c r="J69" s="169"/>
      <c r="K69" s="173"/>
    </row>
    <row r="70" spans="1:11">
      <c r="A70" s="256"/>
      <c r="B70" s="258"/>
      <c r="C70" s="172"/>
      <c r="D70" s="229"/>
      <c r="E70" s="229"/>
      <c r="F70" s="229"/>
      <c r="G70" s="229"/>
      <c r="H70" s="229"/>
      <c r="I70" s="169"/>
      <c r="J70" s="169"/>
      <c r="K70" s="173"/>
    </row>
    <row r="71" spans="1:11" ht="25.5">
      <c r="A71" s="171"/>
      <c r="B71" s="148" t="s">
        <v>36</v>
      </c>
      <c r="C71" s="293"/>
      <c r="D71" s="142"/>
      <c r="E71" s="142"/>
      <c r="F71" s="142"/>
      <c r="G71" s="142"/>
      <c r="H71" s="142"/>
      <c r="I71" s="172"/>
      <c r="J71" s="150"/>
      <c r="K71" s="173"/>
    </row>
    <row r="72" spans="1:11">
      <c r="A72" s="171"/>
      <c r="B72" s="148"/>
      <c r="C72" s="293"/>
      <c r="D72" s="142"/>
      <c r="E72" s="142"/>
      <c r="F72" s="142"/>
      <c r="G72" s="142"/>
      <c r="H72" s="142"/>
      <c r="I72" s="172"/>
      <c r="J72" s="150"/>
      <c r="K72" s="173"/>
    </row>
    <row r="73" spans="1:11">
      <c r="A73" s="171">
        <v>2.5099999999999998</v>
      </c>
      <c r="B73" s="148" t="s">
        <v>48</v>
      </c>
      <c r="C73" s="185"/>
      <c r="D73" s="142"/>
      <c r="E73" s="142"/>
      <c r="F73" s="142"/>
      <c r="G73" s="142"/>
      <c r="H73" s="142"/>
      <c r="I73" s="172"/>
      <c r="J73" s="150"/>
      <c r="K73" s="173"/>
    </row>
    <row r="74" spans="1:11">
      <c r="A74" s="171"/>
      <c r="B74" s="148"/>
      <c r="C74" s="293"/>
      <c r="D74" s="142"/>
      <c r="E74" s="142"/>
      <c r="F74" s="142"/>
      <c r="G74" s="142"/>
      <c r="H74" s="142"/>
      <c r="I74" s="172"/>
      <c r="J74" s="150"/>
      <c r="K74" s="173"/>
    </row>
    <row r="75" spans="1:11" ht="15.75">
      <c r="A75" s="228">
        <v>2.5110000000000001</v>
      </c>
      <c r="B75" s="148" t="s">
        <v>242</v>
      </c>
      <c r="C75" s="223" t="s">
        <v>33</v>
      </c>
      <c r="D75" s="142">
        <f>0.3*((15.4*2)+(5.9*2))</f>
        <v>12.78</v>
      </c>
      <c r="E75" s="142">
        <f>0.3*((15*4)+ (5.3*12))</f>
        <v>37.08</v>
      </c>
      <c r="F75" s="142"/>
      <c r="G75" s="185"/>
      <c r="H75" s="172"/>
      <c r="I75" s="210">
        <f>D75+E75</f>
        <v>49.86</v>
      </c>
      <c r="J75" s="150"/>
      <c r="K75" s="173">
        <f>I75*J75</f>
        <v>0</v>
      </c>
    </row>
    <row r="76" spans="1:11">
      <c r="A76" s="256"/>
      <c r="B76" s="258"/>
      <c r="C76" s="172"/>
      <c r="D76" s="229"/>
      <c r="E76" s="229"/>
      <c r="F76" s="229"/>
      <c r="G76" s="229"/>
      <c r="H76" s="229"/>
      <c r="I76" s="169"/>
      <c r="J76" s="169"/>
      <c r="K76" s="173"/>
    </row>
    <row r="77" spans="1:11" s="255" customFormat="1" ht="15">
      <c r="A77" s="420" t="s">
        <v>83</v>
      </c>
      <c r="B77" s="421"/>
      <c r="C77" s="421"/>
      <c r="D77" s="421"/>
      <c r="E77" s="421"/>
      <c r="F77" s="421"/>
      <c r="G77" s="421"/>
      <c r="H77" s="421"/>
      <c r="I77" s="421"/>
      <c r="J77" s="422"/>
      <c r="K77" s="254">
        <f>SUM(K38:K76)</f>
        <v>0</v>
      </c>
    </row>
    <row r="78" spans="1:11" s="181" customFormat="1">
      <c r="A78" s="246"/>
      <c r="B78" s="149"/>
      <c r="C78" s="176"/>
      <c r="D78" s="176"/>
      <c r="E78" s="176"/>
      <c r="F78" s="176"/>
      <c r="G78" s="176"/>
      <c r="H78" s="176"/>
      <c r="I78" s="176"/>
      <c r="J78" s="173"/>
      <c r="K78" s="173"/>
    </row>
    <row r="79" spans="1:11" ht="17.25" customHeight="1">
      <c r="A79" s="256">
        <v>3</v>
      </c>
      <c r="B79" s="258" t="s">
        <v>38</v>
      </c>
      <c r="C79" s="297"/>
      <c r="D79" s="229"/>
      <c r="E79" s="229"/>
      <c r="F79" s="229"/>
      <c r="G79" s="229"/>
      <c r="H79" s="229"/>
      <c r="I79" s="169"/>
      <c r="J79" s="169"/>
      <c r="K79" s="173"/>
    </row>
    <row r="80" spans="1:11" ht="15" customHeight="1">
      <c r="A80" s="256"/>
      <c r="B80" s="148"/>
      <c r="C80" s="172"/>
      <c r="D80" s="142"/>
      <c r="E80" s="142"/>
      <c r="F80" s="142"/>
      <c r="G80" s="142"/>
      <c r="H80" s="142"/>
      <c r="I80" s="172"/>
      <c r="J80" s="150"/>
      <c r="K80" s="173"/>
    </row>
    <row r="81" spans="1:11" ht="15" customHeight="1">
      <c r="A81" s="256">
        <v>3.1</v>
      </c>
      <c r="B81" s="258" t="s">
        <v>142</v>
      </c>
      <c r="C81" s="172"/>
      <c r="D81" s="142"/>
      <c r="E81" s="142"/>
      <c r="F81" s="142"/>
      <c r="G81" s="142"/>
      <c r="H81" s="142"/>
      <c r="I81" s="172"/>
      <c r="J81" s="150"/>
      <c r="K81" s="173"/>
    </row>
    <row r="82" spans="1:11" ht="15" customHeight="1">
      <c r="A82" s="256"/>
      <c r="B82" s="148"/>
      <c r="C82" s="172"/>
      <c r="D82" s="142"/>
      <c r="E82" s="142"/>
      <c r="F82" s="142"/>
      <c r="G82" s="142"/>
      <c r="H82" s="142"/>
      <c r="I82" s="172"/>
      <c r="J82" s="150"/>
      <c r="K82" s="173"/>
    </row>
    <row r="83" spans="1:11" ht="44.25" customHeight="1">
      <c r="A83" s="256"/>
      <c r="B83" s="148" t="s">
        <v>173</v>
      </c>
      <c r="C83" s="172"/>
      <c r="D83" s="142"/>
      <c r="E83" s="142"/>
      <c r="F83" s="142"/>
      <c r="G83" s="142"/>
      <c r="H83" s="142"/>
      <c r="I83" s="172"/>
      <c r="J83" s="150"/>
      <c r="K83" s="173"/>
    </row>
    <row r="84" spans="1:11">
      <c r="A84" s="256"/>
      <c r="B84" s="148"/>
      <c r="C84" s="172"/>
      <c r="D84" s="142"/>
      <c r="E84" s="142"/>
      <c r="F84" s="142"/>
      <c r="G84" s="142"/>
      <c r="H84" s="142"/>
      <c r="I84" s="172"/>
      <c r="J84" s="150"/>
      <c r="K84" s="173"/>
    </row>
    <row r="85" spans="1:11" ht="15.75">
      <c r="A85" s="171">
        <v>3.11</v>
      </c>
      <c r="B85" s="148" t="s">
        <v>37</v>
      </c>
      <c r="C85" s="172" t="s">
        <v>33</v>
      </c>
      <c r="D85" s="142">
        <f>D5</f>
        <v>14</v>
      </c>
      <c r="E85" s="142">
        <v>5.5</v>
      </c>
      <c r="F85" s="142">
        <v>3.15</v>
      </c>
      <c r="H85" s="229">
        <f>((D85*2)+(E85*9))*F85</f>
        <v>244.125</v>
      </c>
      <c r="I85" s="211">
        <f>H85+H86+H91</f>
        <v>266.29699999999997</v>
      </c>
      <c r="J85" s="150"/>
      <c r="K85" s="173">
        <f>I85*J85</f>
        <v>0</v>
      </c>
    </row>
    <row r="86" spans="1:11">
      <c r="A86" s="256"/>
      <c r="B86" s="148"/>
      <c r="C86" s="172"/>
      <c r="D86" s="142">
        <f>D6</f>
        <v>1.4</v>
      </c>
      <c r="E86" s="181">
        <v>5.5</v>
      </c>
      <c r="F86" s="229">
        <v>1.21</v>
      </c>
      <c r="G86" s="142">
        <f>1.21*E86</f>
        <v>6.6549999999999994</v>
      </c>
      <c r="H86" s="142">
        <f>(((D86*2)+(E86))*F86)+G86</f>
        <v>16.698</v>
      </c>
      <c r="I86" s="172"/>
      <c r="J86" s="150"/>
      <c r="K86" s="173"/>
    </row>
    <row r="87" spans="1:11">
      <c r="A87" s="256">
        <v>3.2</v>
      </c>
      <c r="B87" s="258" t="s">
        <v>340</v>
      </c>
      <c r="C87" s="172"/>
      <c r="D87" s="142"/>
      <c r="E87" s="142"/>
      <c r="F87" s="142"/>
      <c r="G87" s="142"/>
      <c r="H87" s="142"/>
      <c r="I87" s="172"/>
      <c r="J87" s="150"/>
      <c r="K87" s="173"/>
    </row>
    <row r="88" spans="1:11">
      <c r="A88" s="171"/>
      <c r="B88" s="144"/>
      <c r="C88" s="172"/>
      <c r="D88" s="142"/>
      <c r="E88" s="142"/>
      <c r="F88" s="142"/>
      <c r="G88" s="142"/>
      <c r="H88" s="142"/>
      <c r="I88" s="172"/>
      <c r="J88" s="150"/>
      <c r="K88" s="173"/>
    </row>
    <row r="89" spans="1:11">
      <c r="A89" s="171">
        <v>3.21</v>
      </c>
      <c r="B89" s="144" t="s">
        <v>366</v>
      </c>
      <c r="C89" s="172"/>
      <c r="D89" s="142">
        <f>2*5.5*0.5*0.2</f>
        <v>1.1000000000000001</v>
      </c>
      <c r="E89" s="142">
        <f>(0.9+1.55+1.55+0.9)*0.5*0.2</f>
        <v>0.49000000000000005</v>
      </c>
      <c r="F89" s="185"/>
      <c r="G89" s="142"/>
      <c r="H89" s="142"/>
      <c r="I89" s="172">
        <f>D89+E89</f>
        <v>1.59</v>
      </c>
      <c r="J89" s="150"/>
      <c r="K89" s="173">
        <f>I89*J89</f>
        <v>0</v>
      </c>
    </row>
    <row r="90" spans="1:11">
      <c r="A90" s="171"/>
      <c r="B90" s="144"/>
      <c r="C90" s="172"/>
      <c r="D90" s="142"/>
      <c r="E90" s="142"/>
      <c r="F90" s="142"/>
      <c r="G90" s="142"/>
      <c r="H90" s="274"/>
      <c r="I90" s="172"/>
      <c r="J90" s="150"/>
      <c r="K90" s="173"/>
    </row>
    <row r="91" spans="1:11">
      <c r="A91" s="256">
        <v>3.3</v>
      </c>
      <c r="B91" s="258" t="s">
        <v>268</v>
      </c>
      <c r="C91" s="172"/>
      <c r="D91" s="142">
        <f>D7</f>
        <v>1.2</v>
      </c>
      <c r="E91" s="142">
        <v>1</v>
      </c>
      <c r="F91" s="142">
        <v>1.61</v>
      </c>
      <c r="G91" s="142"/>
      <c r="H91" s="142">
        <f>((D91*2)+E91)*F91</f>
        <v>5.4740000000000002</v>
      </c>
      <c r="I91" s="172"/>
      <c r="J91" s="150"/>
      <c r="K91" s="173"/>
    </row>
    <row r="92" spans="1:11">
      <c r="A92" s="256"/>
      <c r="B92" s="148"/>
      <c r="C92" s="172"/>
      <c r="D92" s="142"/>
      <c r="E92" s="142"/>
      <c r="F92" s="142"/>
      <c r="G92" s="142"/>
      <c r="H92" s="142"/>
      <c r="I92" s="172"/>
      <c r="J92" s="150"/>
      <c r="K92" s="173"/>
    </row>
    <row r="93" spans="1:11" ht="15.75">
      <c r="A93" s="171">
        <v>3.31</v>
      </c>
      <c r="B93" s="144" t="s">
        <v>156</v>
      </c>
      <c r="C93" s="172" t="s">
        <v>33</v>
      </c>
      <c r="D93" s="142"/>
      <c r="E93" s="142"/>
      <c r="F93" s="142"/>
      <c r="G93" s="142"/>
      <c r="H93" s="142"/>
      <c r="I93" s="210">
        <f>I85*2</f>
        <v>532.59399999999994</v>
      </c>
      <c r="J93" s="150"/>
      <c r="K93" s="173">
        <f>I93*J93</f>
        <v>0</v>
      </c>
    </row>
    <row r="94" spans="1:11">
      <c r="A94" s="256"/>
      <c r="B94" s="144"/>
      <c r="C94" s="172"/>
      <c r="D94" s="229"/>
      <c r="E94" s="229"/>
      <c r="F94" s="229"/>
      <c r="G94" s="229"/>
      <c r="H94" s="229"/>
      <c r="I94" s="142"/>
      <c r="J94" s="229"/>
      <c r="K94" s="173"/>
    </row>
    <row r="95" spans="1:11" s="255" customFormat="1" ht="15">
      <c r="A95" s="420" t="s">
        <v>84</v>
      </c>
      <c r="B95" s="421"/>
      <c r="C95" s="421"/>
      <c r="D95" s="421"/>
      <c r="E95" s="421"/>
      <c r="F95" s="421"/>
      <c r="G95" s="421"/>
      <c r="H95" s="421"/>
      <c r="I95" s="421"/>
      <c r="J95" s="422"/>
      <c r="K95" s="254">
        <f>SUM(K78:K94)</f>
        <v>0</v>
      </c>
    </row>
    <row r="96" spans="1:11" s="181" customFormat="1">
      <c r="A96" s="246"/>
      <c r="B96" s="149"/>
      <c r="C96" s="176"/>
      <c r="D96" s="176"/>
      <c r="E96" s="176"/>
      <c r="F96" s="176"/>
      <c r="G96" s="176"/>
      <c r="H96" s="176"/>
      <c r="I96" s="176"/>
      <c r="J96" s="173"/>
      <c r="K96" s="173"/>
    </row>
    <row r="97" spans="1:11">
      <c r="A97" s="247">
        <v>4</v>
      </c>
      <c r="B97" s="248" t="s">
        <v>116</v>
      </c>
      <c r="C97" s="172"/>
      <c r="D97" s="142"/>
      <c r="E97" s="142"/>
      <c r="F97" s="142"/>
      <c r="G97" s="142"/>
      <c r="H97" s="142"/>
      <c r="I97" s="172"/>
      <c r="J97" s="150"/>
      <c r="K97" s="173"/>
    </row>
    <row r="98" spans="1:11">
      <c r="A98" s="256"/>
      <c r="B98" s="257"/>
      <c r="C98" s="172"/>
      <c r="D98" s="142"/>
      <c r="E98" s="142"/>
      <c r="F98" s="142"/>
      <c r="G98" s="142"/>
      <c r="H98" s="142"/>
      <c r="I98" s="172"/>
      <c r="J98" s="150"/>
      <c r="K98" s="173"/>
    </row>
    <row r="99" spans="1:11">
      <c r="A99" s="247">
        <v>4.0999999999999996</v>
      </c>
      <c r="B99" s="248" t="s">
        <v>44</v>
      </c>
      <c r="C99" s="172"/>
      <c r="D99" s="142"/>
      <c r="E99" s="142"/>
      <c r="F99" s="142"/>
      <c r="G99" s="142"/>
      <c r="H99" s="142"/>
      <c r="I99" s="172"/>
      <c r="J99" s="150"/>
      <c r="K99" s="173"/>
    </row>
    <row r="100" spans="1:11">
      <c r="A100" s="171"/>
      <c r="B100" s="257"/>
      <c r="C100" s="172"/>
      <c r="D100" s="142"/>
      <c r="E100" s="142"/>
      <c r="F100" s="142"/>
      <c r="G100" s="142"/>
      <c r="H100" s="142"/>
      <c r="I100" s="172"/>
      <c r="J100" s="150"/>
      <c r="K100" s="173"/>
    </row>
    <row r="101" spans="1:11" ht="25.5">
      <c r="A101" s="171">
        <v>4.1100000000000003</v>
      </c>
      <c r="B101" s="144" t="s">
        <v>149</v>
      </c>
      <c r="C101" s="172" t="s">
        <v>10</v>
      </c>
      <c r="D101" s="142">
        <f>3*17.4*0.2*0.3</f>
        <v>3.1319999999999997</v>
      </c>
      <c r="E101" s="142">
        <f>7*5.9*0.2*0.3</f>
        <v>2.4780000000000002</v>
      </c>
      <c r="F101" s="142"/>
      <c r="G101" s="142"/>
      <c r="H101" s="185"/>
      <c r="I101" s="210">
        <f>D101+E101</f>
        <v>5.6099999999999994</v>
      </c>
      <c r="J101" s="150"/>
      <c r="K101" s="173">
        <f>I101*J101</f>
        <v>0</v>
      </c>
    </row>
    <row r="102" spans="1:11">
      <c r="A102" s="171"/>
      <c r="B102" s="144"/>
      <c r="C102" s="172"/>
      <c r="D102" s="142"/>
      <c r="E102" s="142"/>
      <c r="F102" s="142"/>
      <c r="G102" s="142"/>
      <c r="H102" s="142"/>
      <c r="I102" s="172"/>
      <c r="J102" s="150"/>
      <c r="K102" s="173"/>
    </row>
    <row r="103" spans="1:11" ht="30" customHeight="1">
      <c r="A103" s="171">
        <v>4.12</v>
      </c>
      <c r="B103" s="148" t="s">
        <v>293</v>
      </c>
      <c r="C103" s="172" t="s">
        <v>10</v>
      </c>
      <c r="D103" s="142">
        <f>D5+D6</f>
        <v>15.4</v>
      </c>
      <c r="E103" s="142">
        <f>E5</f>
        <v>5.9</v>
      </c>
      <c r="F103" s="142">
        <v>0.15</v>
      </c>
      <c r="G103" s="142"/>
      <c r="H103" s="142"/>
      <c r="I103" s="210">
        <f>((D103*E103*F103)+F104)-(D104+E104)</f>
        <v>13.716000000000001</v>
      </c>
      <c r="J103" s="150"/>
      <c r="K103" s="173">
        <f>I103*J103</f>
        <v>0</v>
      </c>
    </row>
    <row r="104" spans="1:11">
      <c r="A104" s="171"/>
      <c r="B104" s="257"/>
      <c r="C104" s="172"/>
      <c r="D104" s="142">
        <f>16*0.6*0.45*F103</f>
        <v>0.64800000000000002</v>
      </c>
      <c r="E104" s="142">
        <f>2*0.7*4.5*F103</f>
        <v>0.94499999999999995</v>
      </c>
      <c r="F104" s="142">
        <f>D7*E7</f>
        <v>1.68</v>
      </c>
      <c r="G104" s="142"/>
      <c r="H104" s="142"/>
      <c r="I104" s="172"/>
      <c r="J104" s="150"/>
      <c r="K104" s="173"/>
    </row>
    <row r="105" spans="1:11" ht="30" customHeight="1">
      <c r="A105" s="171">
        <v>4.13</v>
      </c>
      <c r="B105" s="144" t="s">
        <v>269</v>
      </c>
      <c r="C105" s="172" t="s">
        <v>9</v>
      </c>
      <c r="D105" s="142"/>
      <c r="E105" s="142"/>
      <c r="F105" s="142"/>
      <c r="G105" s="142"/>
      <c r="H105" s="142"/>
      <c r="I105" s="212">
        <v>22</v>
      </c>
      <c r="J105" s="150"/>
      <c r="K105" s="173">
        <f>I105*J105</f>
        <v>0</v>
      </c>
    </row>
    <row r="106" spans="1:11">
      <c r="A106" s="197"/>
      <c r="B106" s="144"/>
      <c r="C106" s="172"/>
      <c r="D106" s="142"/>
      <c r="E106" s="142"/>
      <c r="G106" s="142"/>
      <c r="H106" s="142"/>
      <c r="I106" s="172"/>
      <c r="J106" s="150"/>
      <c r="K106" s="173"/>
    </row>
    <row r="107" spans="1:11" ht="81" customHeight="1">
      <c r="A107" s="171">
        <v>4.1399999999999997</v>
      </c>
      <c r="B107" s="144" t="s">
        <v>303</v>
      </c>
      <c r="C107" s="172" t="s">
        <v>9</v>
      </c>
      <c r="D107" s="142"/>
      <c r="E107" s="142"/>
      <c r="F107" s="142"/>
      <c r="G107" s="142"/>
      <c r="H107" s="142"/>
      <c r="I107" s="172">
        <v>22</v>
      </c>
      <c r="J107" s="150"/>
      <c r="K107" s="173">
        <f>I107*J107</f>
        <v>0</v>
      </c>
    </row>
    <row r="108" spans="1:11">
      <c r="A108" s="171"/>
      <c r="B108" s="144"/>
      <c r="C108" s="172"/>
      <c r="D108" s="142"/>
      <c r="E108" s="142"/>
      <c r="F108" s="142"/>
      <c r="G108" s="142"/>
      <c r="H108" s="142"/>
      <c r="I108" s="172"/>
      <c r="J108" s="150"/>
      <c r="K108" s="173"/>
    </row>
    <row r="109" spans="1:11">
      <c r="A109" s="256">
        <v>4.2</v>
      </c>
      <c r="B109" s="258" t="s">
        <v>65</v>
      </c>
      <c r="C109" s="172"/>
      <c r="D109" s="142"/>
      <c r="E109" s="142"/>
      <c r="F109" s="142"/>
      <c r="G109" s="142"/>
      <c r="H109" s="142"/>
      <c r="I109" s="172"/>
      <c r="J109" s="150"/>
      <c r="K109" s="173"/>
    </row>
    <row r="110" spans="1:11">
      <c r="A110" s="256"/>
      <c r="B110" s="258"/>
      <c r="C110" s="172"/>
      <c r="D110" s="142"/>
      <c r="E110" s="142"/>
      <c r="F110" s="142"/>
      <c r="G110" s="142"/>
      <c r="H110" s="142"/>
      <c r="I110" s="172"/>
      <c r="J110" s="150"/>
      <c r="K110" s="173"/>
    </row>
    <row r="111" spans="1:11" ht="21.75" customHeight="1">
      <c r="A111" s="171">
        <v>4.21</v>
      </c>
      <c r="B111" s="148" t="s">
        <v>41</v>
      </c>
      <c r="C111" s="172" t="s">
        <v>34</v>
      </c>
      <c r="D111" s="142"/>
      <c r="E111" s="142"/>
      <c r="F111" s="142"/>
      <c r="G111" s="142"/>
      <c r="H111" s="142"/>
      <c r="I111" s="210">
        <v>1688</v>
      </c>
      <c r="J111" s="150"/>
      <c r="K111" s="173">
        <f>I111*J111</f>
        <v>0</v>
      </c>
    </row>
    <row r="112" spans="1:11">
      <c r="A112" s="171"/>
      <c r="B112" s="148"/>
      <c r="C112" s="172"/>
      <c r="D112" s="142"/>
      <c r="E112" s="142"/>
      <c r="F112" s="142"/>
      <c r="G112" s="142"/>
      <c r="H112" s="142"/>
      <c r="I112" s="172"/>
      <c r="J112" s="150"/>
      <c r="K112" s="173"/>
    </row>
    <row r="113" spans="1:12">
      <c r="A113" s="256">
        <v>4.3</v>
      </c>
      <c r="B113" s="258" t="s">
        <v>35</v>
      </c>
      <c r="C113" s="172"/>
      <c r="D113" s="229"/>
      <c r="E113" s="229"/>
      <c r="F113" s="229"/>
      <c r="G113" s="229"/>
      <c r="H113" s="229"/>
      <c r="I113" s="169"/>
      <c r="J113" s="169"/>
      <c r="K113" s="173"/>
    </row>
    <row r="114" spans="1:12">
      <c r="A114" s="171"/>
      <c r="B114" s="298"/>
      <c r="C114" s="297"/>
      <c r="D114" s="142"/>
      <c r="E114" s="142"/>
      <c r="F114" s="142"/>
      <c r="G114" s="142"/>
      <c r="H114" s="142"/>
      <c r="I114" s="172"/>
      <c r="J114" s="150"/>
      <c r="K114" s="173"/>
    </row>
    <row r="115" spans="1:12" ht="25.5">
      <c r="A115" s="171"/>
      <c r="B115" s="148" t="s">
        <v>36</v>
      </c>
      <c r="C115" s="293"/>
      <c r="D115" s="142"/>
      <c r="E115" s="142"/>
      <c r="F115" s="142"/>
      <c r="G115" s="142"/>
      <c r="H115" s="142"/>
      <c r="I115" s="172"/>
      <c r="J115" s="150"/>
      <c r="K115" s="173"/>
    </row>
    <row r="116" spans="1:12">
      <c r="A116" s="171"/>
      <c r="B116" s="148"/>
      <c r="C116" s="293"/>
      <c r="D116" s="142"/>
      <c r="E116" s="142"/>
      <c r="F116" s="142"/>
      <c r="G116" s="142"/>
      <c r="H116" s="142"/>
      <c r="I116" s="172"/>
      <c r="J116" s="150"/>
      <c r="K116" s="173"/>
    </row>
    <row r="117" spans="1:12">
      <c r="A117" s="171">
        <v>4.3099999999999996</v>
      </c>
      <c r="B117" s="148" t="s">
        <v>47</v>
      </c>
      <c r="C117" s="293"/>
      <c r="D117" s="142"/>
      <c r="E117" s="142"/>
      <c r="F117" s="142"/>
      <c r="G117" s="142"/>
      <c r="H117" s="142"/>
      <c r="I117" s="172"/>
      <c r="J117" s="150"/>
      <c r="K117" s="173"/>
    </row>
    <row r="118" spans="1:12">
      <c r="A118" s="171"/>
      <c r="B118" s="148"/>
      <c r="C118" s="293"/>
      <c r="D118" s="142"/>
      <c r="E118" s="142"/>
      <c r="F118" s="142"/>
      <c r="G118" s="142"/>
      <c r="H118" s="142"/>
      <c r="I118" s="172"/>
      <c r="J118" s="150"/>
      <c r="K118" s="173"/>
    </row>
    <row r="119" spans="1:12" ht="18.75" customHeight="1">
      <c r="A119" s="228">
        <v>4.3109999999999999</v>
      </c>
      <c r="B119" s="148" t="s">
        <v>46</v>
      </c>
      <c r="C119" s="223" t="s">
        <v>33</v>
      </c>
      <c r="D119" s="142"/>
      <c r="E119" s="142"/>
      <c r="F119" s="142"/>
      <c r="G119" s="142"/>
      <c r="H119" s="142"/>
      <c r="I119" s="210">
        <f>I103/F103</f>
        <v>91.440000000000012</v>
      </c>
      <c r="J119" s="150"/>
      <c r="K119" s="173">
        <f>I119*J119</f>
        <v>0</v>
      </c>
    </row>
    <row r="120" spans="1:12">
      <c r="A120" s="171"/>
      <c r="B120" s="148"/>
      <c r="C120" s="223"/>
      <c r="D120" s="142"/>
      <c r="E120" s="142"/>
      <c r="F120" s="142"/>
      <c r="G120" s="142"/>
      <c r="H120" s="274"/>
      <c r="I120" s="172"/>
      <c r="J120" s="150"/>
      <c r="K120" s="173"/>
    </row>
    <row r="121" spans="1:12">
      <c r="A121" s="171">
        <v>4.32</v>
      </c>
      <c r="B121" s="148" t="s">
        <v>48</v>
      </c>
      <c r="C121" s="297"/>
      <c r="D121" s="229"/>
      <c r="E121" s="229"/>
      <c r="F121" s="229"/>
      <c r="G121" s="229"/>
      <c r="H121" s="229"/>
      <c r="I121" s="169"/>
      <c r="J121" s="169"/>
      <c r="K121" s="173"/>
    </row>
    <row r="122" spans="1:12">
      <c r="A122" s="232"/>
      <c r="B122" s="289"/>
      <c r="C122" s="299"/>
      <c r="D122" s="177"/>
      <c r="E122" s="177"/>
      <c r="F122" s="177"/>
      <c r="G122" s="177"/>
      <c r="H122" s="177"/>
      <c r="I122" s="233"/>
      <c r="J122" s="231"/>
      <c r="K122" s="261"/>
    </row>
    <row r="123" spans="1:12" ht="15.75">
      <c r="A123" s="228">
        <v>4.3209999999999997</v>
      </c>
      <c r="B123" s="148" t="s">
        <v>242</v>
      </c>
      <c r="C123" s="223" t="s">
        <v>33</v>
      </c>
      <c r="D123" s="142">
        <f>0.3*((5.9*2)+(1.6*2))</f>
        <v>4.5</v>
      </c>
      <c r="E123" s="142">
        <f>0.3*((5.3*2)+(1.2*4))</f>
        <v>4.6199999999999992</v>
      </c>
      <c r="F123" s="142"/>
      <c r="G123" s="185"/>
      <c r="H123" s="172"/>
      <c r="I123" s="210">
        <f>D123+E123</f>
        <v>9.1199999999999992</v>
      </c>
      <c r="J123" s="150"/>
      <c r="K123" s="173">
        <f>I123*J123</f>
        <v>0</v>
      </c>
    </row>
    <row r="124" spans="1:12">
      <c r="A124" s="171"/>
      <c r="B124" s="148"/>
      <c r="C124" s="223"/>
      <c r="D124" s="142"/>
      <c r="E124" s="142"/>
      <c r="F124" s="142"/>
      <c r="G124" s="142"/>
      <c r="H124" s="145"/>
      <c r="I124" s="172"/>
      <c r="J124" s="150"/>
      <c r="K124" s="173"/>
    </row>
    <row r="125" spans="1:12" s="255" customFormat="1" ht="15">
      <c r="A125" s="420" t="s">
        <v>85</v>
      </c>
      <c r="B125" s="421"/>
      <c r="C125" s="421"/>
      <c r="D125" s="421"/>
      <c r="E125" s="421"/>
      <c r="F125" s="421"/>
      <c r="G125" s="421"/>
      <c r="H125" s="421"/>
      <c r="I125" s="421"/>
      <c r="J125" s="422"/>
      <c r="K125" s="254">
        <f>SUM(K96:K124)</f>
        <v>0</v>
      </c>
      <c r="L125" s="269"/>
    </row>
    <row r="126" spans="1:12" s="181" customFormat="1">
      <c r="A126" s="256"/>
      <c r="B126" s="144"/>
      <c r="C126" s="172"/>
      <c r="D126" s="144"/>
      <c r="E126" s="144"/>
      <c r="F126" s="144"/>
      <c r="G126" s="144"/>
      <c r="H126" s="144"/>
      <c r="I126" s="145"/>
      <c r="J126" s="144"/>
      <c r="K126" s="173"/>
    </row>
    <row r="127" spans="1:12">
      <c r="A127" s="256">
        <v>5</v>
      </c>
      <c r="B127" s="258" t="s">
        <v>12</v>
      </c>
      <c r="C127" s="172"/>
      <c r="D127" s="229"/>
      <c r="E127" s="229"/>
      <c r="F127" s="229"/>
      <c r="G127" s="229"/>
      <c r="H127" s="229"/>
      <c r="I127" s="169"/>
      <c r="J127" s="169"/>
      <c r="K127" s="173"/>
    </row>
    <row r="128" spans="1:12">
      <c r="A128" s="256"/>
      <c r="B128" s="144"/>
      <c r="C128" s="172"/>
      <c r="D128" s="142"/>
      <c r="E128" s="142"/>
      <c r="F128" s="142"/>
      <c r="G128" s="142"/>
      <c r="H128" s="142"/>
      <c r="I128" s="172"/>
      <c r="J128" s="150"/>
      <c r="K128" s="173"/>
    </row>
    <row r="129" spans="1:11">
      <c r="A129" s="256">
        <v>5.0999999999999996</v>
      </c>
      <c r="B129" s="258" t="s">
        <v>68</v>
      </c>
      <c r="C129" s="172"/>
      <c r="D129" s="142"/>
      <c r="E129" s="142"/>
      <c r="F129" s="142"/>
      <c r="G129" s="142"/>
      <c r="H129" s="142"/>
      <c r="I129" s="172"/>
      <c r="J129" s="150"/>
      <c r="K129" s="173"/>
    </row>
    <row r="130" spans="1:11">
      <c r="A130" s="256"/>
      <c r="B130" s="144"/>
      <c r="C130" s="172"/>
      <c r="D130" s="142"/>
      <c r="E130" s="142"/>
      <c r="F130" s="142"/>
      <c r="G130" s="142"/>
      <c r="H130" s="142"/>
      <c r="I130" s="172"/>
      <c r="J130" s="150"/>
      <c r="K130" s="173"/>
    </row>
    <row r="131" spans="1:11" ht="41.25" customHeight="1">
      <c r="A131" s="256"/>
      <c r="B131" s="144" t="s">
        <v>157</v>
      </c>
      <c r="C131" s="172"/>
      <c r="D131" s="142"/>
      <c r="E131" s="142"/>
      <c r="F131" s="142"/>
      <c r="G131" s="142"/>
      <c r="H131" s="142"/>
      <c r="I131" s="172"/>
      <c r="J131" s="150"/>
      <c r="K131" s="173"/>
    </row>
    <row r="132" spans="1:11">
      <c r="A132" s="256"/>
      <c r="B132" s="144"/>
      <c r="C132" s="172"/>
      <c r="D132" s="229"/>
      <c r="E132" s="229"/>
      <c r="F132" s="229"/>
      <c r="G132" s="229"/>
      <c r="H132" s="229"/>
      <c r="I132" s="169"/>
      <c r="J132" s="169"/>
      <c r="K132" s="173"/>
    </row>
    <row r="133" spans="1:11" ht="25.5" customHeight="1">
      <c r="A133" s="171">
        <v>5.1100000000000003</v>
      </c>
      <c r="B133" s="144" t="s">
        <v>335</v>
      </c>
      <c r="C133" s="172" t="s">
        <v>3</v>
      </c>
      <c r="D133" s="229">
        <v>1.6</v>
      </c>
      <c r="E133" s="229">
        <f>0.9*4</f>
        <v>3.6</v>
      </c>
      <c r="F133" s="229"/>
      <c r="G133" s="229"/>
      <c r="H133" s="270"/>
      <c r="I133" s="145">
        <f>D133+E133</f>
        <v>5.2</v>
      </c>
      <c r="J133" s="150"/>
      <c r="K133" s="173">
        <f>I133*J133</f>
        <v>0</v>
      </c>
    </row>
    <row r="134" spans="1:11">
      <c r="A134" s="171"/>
      <c r="B134" s="144"/>
      <c r="C134" s="172"/>
      <c r="D134" s="229"/>
      <c r="E134" s="229"/>
      <c r="F134" s="229"/>
      <c r="G134" s="229"/>
      <c r="H134" s="229"/>
      <c r="I134" s="169"/>
      <c r="J134" s="169"/>
      <c r="K134" s="173"/>
    </row>
    <row r="135" spans="1:11">
      <c r="A135" s="171">
        <v>5.12</v>
      </c>
      <c r="B135" s="144" t="s">
        <v>336</v>
      </c>
      <c r="C135" s="172" t="s">
        <v>3</v>
      </c>
      <c r="D135" s="229">
        <f>(14*5)*(2.51+0.32)</f>
        <v>198.09999999999997</v>
      </c>
      <c r="E135" s="229">
        <f>10*(2.717+0.325)</f>
        <v>30.42</v>
      </c>
      <c r="F135" s="229">
        <f>10*(2.417+0.325)</f>
        <v>27.42</v>
      </c>
      <c r="G135" s="229"/>
      <c r="H135" s="229"/>
      <c r="I135" s="172">
        <f>D135+E135+F135</f>
        <v>255.94</v>
      </c>
      <c r="J135" s="150"/>
      <c r="K135" s="173">
        <f>I135*J135</f>
        <v>0</v>
      </c>
    </row>
    <row r="136" spans="1:11">
      <c r="A136" s="171"/>
      <c r="B136" s="144"/>
      <c r="C136" s="172"/>
      <c r="D136" s="229"/>
      <c r="E136" s="229"/>
      <c r="F136" s="229"/>
      <c r="G136" s="229"/>
      <c r="H136" s="229"/>
      <c r="I136" s="172"/>
      <c r="J136" s="150"/>
      <c r="K136" s="173"/>
    </row>
    <row r="137" spans="1:11" ht="27" customHeight="1">
      <c r="A137" s="171">
        <v>5.13</v>
      </c>
      <c r="B137" s="144" t="s">
        <v>350</v>
      </c>
      <c r="C137" s="172" t="s">
        <v>3</v>
      </c>
      <c r="D137" s="142"/>
      <c r="E137" s="142"/>
      <c r="F137" s="142"/>
      <c r="G137" s="142"/>
      <c r="H137" s="142"/>
      <c r="I137" s="172">
        <v>8</v>
      </c>
      <c r="J137" s="150"/>
      <c r="K137" s="173">
        <f>I137*J137</f>
        <v>0</v>
      </c>
    </row>
    <row r="138" spans="1:11">
      <c r="A138" s="171"/>
      <c r="B138" s="144"/>
      <c r="C138" s="172"/>
      <c r="D138" s="142"/>
      <c r="E138" s="142"/>
      <c r="F138" s="142"/>
      <c r="G138" s="142"/>
      <c r="H138" s="142"/>
      <c r="I138" s="172"/>
      <c r="J138" s="150"/>
      <c r="K138" s="173"/>
    </row>
    <row r="139" spans="1:11" ht="38.25">
      <c r="A139" s="171">
        <v>5.14</v>
      </c>
      <c r="B139" s="144" t="s">
        <v>363</v>
      </c>
      <c r="C139" s="172" t="s">
        <v>9</v>
      </c>
      <c r="D139" s="142"/>
      <c r="E139" s="142"/>
      <c r="F139" s="142"/>
      <c r="G139" s="142"/>
      <c r="H139" s="142"/>
      <c r="I139" s="172">
        <v>1</v>
      </c>
      <c r="J139" s="150"/>
      <c r="K139" s="173">
        <f>I139*J139</f>
        <v>0</v>
      </c>
    </row>
    <row r="140" spans="1:11">
      <c r="A140" s="256"/>
      <c r="B140" s="144"/>
      <c r="C140" s="172"/>
      <c r="D140" s="229"/>
      <c r="E140" s="229"/>
      <c r="F140" s="229"/>
      <c r="G140" s="229"/>
      <c r="H140" s="229"/>
      <c r="I140" s="169"/>
      <c r="J140" s="169"/>
      <c r="K140" s="173"/>
    </row>
    <row r="141" spans="1:11">
      <c r="A141" s="256">
        <v>5.2</v>
      </c>
      <c r="B141" s="272" t="s">
        <v>69</v>
      </c>
      <c r="C141" s="172"/>
      <c r="D141" s="142"/>
      <c r="E141" s="142"/>
      <c r="F141" s="142"/>
      <c r="G141" s="142"/>
      <c r="H141" s="142"/>
      <c r="I141" s="172"/>
      <c r="J141" s="150"/>
      <c r="K141" s="173"/>
    </row>
    <row r="142" spans="1:11">
      <c r="A142" s="256"/>
      <c r="B142" s="144"/>
      <c r="C142" s="172"/>
      <c r="D142" s="142"/>
      <c r="E142" s="142"/>
      <c r="F142" s="142"/>
      <c r="G142" s="142"/>
      <c r="H142" s="142"/>
      <c r="I142" s="172"/>
      <c r="J142" s="150"/>
      <c r="K142" s="173"/>
    </row>
    <row r="143" spans="1:11" ht="25.5">
      <c r="A143" s="171">
        <v>5.21</v>
      </c>
      <c r="B143" s="144" t="s">
        <v>337</v>
      </c>
      <c r="C143" s="172" t="s">
        <v>9</v>
      </c>
      <c r="D143" s="229"/>
      <c r="E143" s="229"/>
      <c r="F143" s="229"/>
      <c r="G143" s="229"/>
      <c r="H143" s="229"/>
      <c r="I143" s="169">
        <f>1+(14*5)+(10*2)+4</f>
        <v>95</v>
      </c>
      <c r="J143" s="150"/>
      <c r="K143" s="173">
        <f>I143*J143</f>
        <v>0</v>
      </c>
    </row>
    <row r="144" spans="1:11">
      <c r="A144" s="171"/>
      <c r="B144" s="144"/>
      <c r="C144" s="172"/>
      <c r="D144" s="229"/>
      <c r="E144" s="229"/>
      <c r="F144" s="229"/>
      <c r="G144" s="229"/>
      <c r="H144" s="229"/>
      <c r="I144" s="169"/>
      <c r="J144" s="150"/>
      <c r="K144" s="173"/>
    </row>
    <row r="145" spans="1:11" ht="25.5">
      <c r="A145" s="171">
        <v>5.22</v>
      </c>
      <c r="B145" s="144" t="s">
        <v>162</v>
      </c>
      <c r="C145" s="172" t="s">
        <v>9</v>
      </c>
      <c r="D145" s="229">
        <v>4</v>
      </c>
      <c r="E145" s="229"/>
      <c r="F145" s="229"/>
      <c r="G145" s="229"/>
      <c r="H145" s="229"/>
      <c r="I145" s="169">
        <f>D145*D146</f>
        <v>32</v>
      </c>
      <c r="J145" s="150"/>
      <c r="K145" s="173">
        <f>I145*J145</f>
        <v>0</v>
      </c>
    </row>
    <row r="146" spans="1:11">
      <c r="A146" s="256"/>
      <c r="B146" s="144"/>
      <c r="C146" s="172"/>
      <c r="D146" s="229">
        <v>8</v>
      </c>
      <c r="E146" s="229"/>
      <c r="F146" s="229"/>
      <c r="G146" s="229"/>
      <c r="H146" s="229"/>
      <c r="I146" s="169"/>
      <c r="J146" s="150"/>
      <c r="K146" s="173"/>
    </row>
    <row r="147" spans="1:11" ht="25.5">
      <c r="A147" s="171">
        <v>5.23</v>
      </c>
      <c r="B147" s="144" t="s">
        <v>161</v>
      </c>
      <c r="C147" s="172" t="s">
        <v>9</v>
      </c>
      <c r="D147" s="229"/>
      <c r="E147" s="229"/>
      <c r="F147" s="229"/>
      <c r="G147" s="229"/>
      <c r="H147" s="229"/>
      <c r="I147" s="169">
        <v>1</v>
      </c>
      <c r="J147" s="150"/>
      <c r="K147" s="173">
        <f>I147*J147</f>
        <v>0</v>
      </c>
    </row>
    <row r="148" spans="1:11">
      <c r="A148" s="256"/>
      <c r="B148" s="144"/>
      <c r="C148" s="172"/>
      <c r="D148" s="229"/>
      <c r="E148" s="229"/>
      <c r="F148" s="229"/>
      <c r="G148" s="229"/>
      <c r="H148" s="229"/>
      <c r="I148" s="169"/>
      <c r="J148" s="150"/>
      <c r="K148" s="173"/>
    </row>
    <row r="149" spans="1:11">
      <c r="A149" s="256">
        <v>5.3</v>
      </c>
      <c r="B149" s="258" t="s">
        <v>70</v>
      </c>
      <c r="C149" s="172"/>
      <c r="D149" s="229"/>
      <c r="E149" s="229"/>
      <c r="F149" s="229"/>
      <c r="G149" s="229"/>
      <c r="H149" s="229"/>
      <c r="I149" s="169"/>
      <c r="J149" s="150"/>
      <c r="K149" s="173"/>
    </row>
    <row r="150" spans="1:11">
      <c r="A150" s="171"/>
      <c r="B150" s="275"/>
      <c r="C150" s="172"/>
      <c r="D150" s="229"/>
      <c r="E150" s="229"/>
      <c r="F150" s="229"/>
      <c r="G150" s="229"/>
      <c r="H150" s="229"/>
      <c r="I150" s="169"/>
      <c r="J150" s="150"/>
      <c r="K150" s="173"/>
    </row>
    <row r="151" spans="1:11" ht="69.75" customHeight="1">
      <c r="A151" s="171"/>
      <c r="B151" s="148" t="s">
        <v>158</v>
      </c>
      <c r="C151" s="172"/>
      <c r="D151" s="229"/>
      <c r="E151" s="229"/>
      <c r="F151" s="229"/>
      <c r="G151" s="229"/>
      <c r="H151" s="229"/>
      <c r="I151" s="169"/>
      <c r="J151" s="150"/>
      <c r="K151" s="173"/>
    </row>
    <row r="152" spans="1:11">
      <c r="A152" s="171"/>
      <c r="B152" s="144"/>
      <c r="C152" s="172"/>
      <c r="D152" s="229"/>
      <c r="E152" s="229"/>
      <c r="F152" s="229"/>
      <c r="G152" s="229"/>
      <c r="H152" s="229"/>
      <c r="I152" s="169"/>
      <c r="J152" s="150"/>
      <c r="K152" s="173"/>
    </row>
    <row r="153" spans="1:11">
      <c r="A153" s="171"/>
      <c r="B153" s="144" t="s">
        <v>349</v>
      </c>
      <c r="C153" s="172"/>
      <c r="D153" s="229"/>
      <c r="E153" s="229"/>
      <c r="F153" s="229"/>
      <c r="G153" s="229"/>
      <c r="H153" s="229"/>
      <c r="I153" s="169"/>
      <c r="J153" s="150"/>
      <c r="K153" s="173"/>
    </row>
    <row r="154" spans="1:11">
      <c r="A154" s="171"/>
      <c r="B154" s="275"/>
      <c r="C154" s="172"/>
      <c r="D154" s="229"/>
      <c r="E154" s="229"/>
      <c r="F154" s="229"/>
      <c r="G154" s="229"/>
      <c r="H154" s="229"/>
      <c r="I154" s="169"/>
      <c r="J154" s="150"/>
      <c r="K154" s="173"/>
    </row>
    <row r="155" spans="1:11" ht="25.5">
      <c r="A155" s="171">
        <v>5.31</v>
      </c>
      <c r="B155" s="144" t="s">
        <v>292</v>
      </c>
      <c r="C155" s="172" t="s">
        <v>3</v>
      </c>
      <c r="D155" s="229"/>
      <c r="E155" s="229"/>
      <c r="F155" s="229"/>
      <c r="G155" s="229"/>
      <c r="H155" s="229"/>
      <c r="I155" s="169">
        <f>I137</f>
        <v>8</v>
      </c>
      <c r="J155" s="150"/>
      <c r="K155" s="173">
        <f>I155*J155</f>
        <v>0</v>
      </c>
    </row>
    <row r="156" spans="1:11">
      <c r="A156" s="256"/>
      <c r="B156" s="144"/>
      <c r="C156" s="172"/>
      <c r="D156" s="229"/>
      <c r="E156" s="229"/>
      <c r="F156" s="229"/>
      <c r="G156" s="229"/>
      <c r="H156" s="229"/>
      <c r="I156" s="169"/>
      <c r="J156" s="169"/>
      <c r="K156" s="173"/>
    </row>
    <row r="157" spans="1:11">
      <c r="A157" s="256">
        <v>5.4</v>
      </c>
      <c r="B157" s="258" t="s">
        <v>81</v>
      </c>
      <c r="C157" s="172"/>
      <c r="D157" s="229"/>
      <c r="E157" s="229"/>
      <c r="F157" s="229"/>
      <c r="G157" s="229"/>
      <c r="H157" s="229"/>
      <c r="I157" s="169"/>
      <c r="J157" s="150"/>
      <c r="K157" s="173"/>
    </row>
    <row r="158" spans="1:11">
      <c r="A158" s="171"/>
      <c r="B158" s="275"/>
      <c r="C158" s="172"/>
      <c r="D158" s="229"/>
      <c r="E158" s="229"/>
      <c r="F158" s="229"/>
      <c r="G158" s="229"/>
      <c r="H158" s="229"/>
      <c r="I158" s="169"/>
      <c r="J158" s="150"/>
      <c r="K158" s="173"/>
    </row>
    <row r="159" spans="1:11" ht="25.5">
      <c r="A159" s="171">
        <v>5.41</v>
      </c>
      <c r="B159" s="144" t="s">
        <v>364</v>
      </c>
      <c r="C159" s="172" t="s">
        <v>180</v>
      </c>
      <c r="D159" s="229"/>
      <c r="E159" s="229"/>
      <c r="F159" s="229"/>
      <c r="G159" s="229"/>
      <c r="H159" s="229"/>
      <c r="I159" s="145" t="s">
        <v>104</v>
      </c>
      <c r="J159" s="150"/>
      <c r="K159" s="173">
        <f>J159</f>
        <v>0</v>
      </c>
    </row>
    <row r="160" spans="1:11">
      <c r="A160" s="171"/>
      <c r="B160" s="144"/>
      <c r="C160" s="172"/>
      <c r="D160" s="229"/>
      <c r="E160" s="229"/>
      <c r="F160" s="229"/>
      <c r="G160" s="229"/>
      <c r="H160" s="229"/>
      <c r="I160" s="145"/>
      <c r="J160" s="150"/>
      <c r="K160" s="173"/>
    </row>
    <row r="161" spans="1:11" s="255" customFormat="1" ht="15">
      <c r="A161" s="420" t="s">
        <v>86</v>
      </c>
      <c r="B161" s="421"/>
      <c r="C161" s="421"/>
      <c r="D161" s="421"/>
      <c r="E161" s="421"/>
      <c r="F161" s="421"/>
      <c r="G161" s="421"/>
      <c r="H161" s="421"/>
      <c r="I161" s="421"/>
      <c r="J161" s="422"/>
      <c r="K161" s="254">
        <f>SUM(K126:K160)</f>
        <v>0</v>
      </c>
    </row>
    <row r="162" spans="1:11" s="255" customFormat="1" ht="15">
      <c r="A162" s="256"/>
      <c r="B162" s="144"/>
      <c r="C162" s="172"/>
      <c r="D162" s="144"/>
      <c r="E162" s="144"/>
      <c r="F162" s="144"/>
      <c r="G162" s="144"/>
      <c r="H162" s="144"/>
      <c r="I162" s="145"/>
      <c r="J162" s="144"/>
      <c r="K162" s="173"/>
    </row>
    <row r="163" spans="1:11">
      <c r="A163" s="256">
        <v>6</v>
      </c>
      <c r="B163" s="258" t="s">
        <v>172</v>
      </c>
      <c r="C163" s="172"/>
      <c r="D163" s="142"/>
      <c r="E163" s="142"/>
      <c r="F163" s="142"/>
      <c r="G163" s="142"/>
      <c r="H163" s="144"/>
      <c r="I163" s="172"/>
      <c r="J163" s="150"/>
      <c r="K163" s="173"/>
    </row>
    <row r="164" spans="1:11">
      <c r="A164" s="256"/>
      <c r="B164" s="144"/>
      <c r="C164" s="172"/>
      <c r="D164" s="142"/>
      <c r="E164" s="142"/>
      <c r="F164" s="142"/>
      <c r="G164" s="142"/>
      <c r="H164" s="144"/>
      <c r="I164" s="172"/>
      <c r="J164" s="150"/>
      <c r="K164" s="173"/>
    </row>
    <row r="165" spans="1:11">
      <c r="A165" s="256">
        <v>6.1</v>
      </c>
      <c r="B165" s="258" t="s">
        <v>139</v>
      </c>
      <c r="C165" s="172"/>
      <c r="D165" s="142"/>
      <c r="E165" s="142"/>
      <c r="F165" s="142"/>
      <c r="G165" s="142"/>
      <c r="H165" s="274"/>
      <c r="I165" s="172"/>
      <c r="J165" s="150"/>
      <c r="K165" s="173"/>
    </row>
    <row r="166" spans="1:11">
      <c r="A166" s="171"/>
      <c r="B166" s="144"/>
      <c r="C166" s="172"/>
      <c r="D166" s="142"/>
      <c r="E166" s="142"/>
      <c r="F166" s="142"/>
      <c r="G166" s="142"/>
      <c r="H166" s="274"/>
      <c r="I166" s="172"/>
      <c r="J166" s="150"/>
      <c r="K166" s="173"/>
    </row>
    <row r="167" spans="1:11" ht="25.5">
      <c r="A167" s="171">
        <v>6.11</v>
      </c>
      <c r="B167" s="144" t="s">
        <v>338</v>
      </c>
      <c r="C167" s="172" t="s">
        <v>30</v>
      </c>
      <c r="D167" s="142">
        <v>5.5</v>
      </c>
      <c r="E167" s="142">
        <v>1.75</v>
      </c>
      <c r="F167" s="142">
        <v>1.2</v>
      </c>
      <c r="G167" s="142"/>
      <c r="H167" s="142"/>
      <c r="I167" s="210">
        <f>D167*E167*F167</f>
        <v>11.549999999999999</v>
      </c>
      <c r="J167" s="150"/>
      <c r="K167" s="173">
        <f>I167*J167</f>
        <v>0</v>
      </c>
    </row>
    <row r="168" spans="1:11">
      <c r="A168" s="171"/>
      <c r="B168" s="144"/>
      <c r="C168" s="172"/>
      <c r="D168" s="142"/>
      <c r="E168" s="142"/>
      <c r="F168" s="142"/>
      <c r="G168" s="142"/>
      <c r="H168" s="142"/>
      <c r="I168" s="210"/>
      <c r="J168" s="150"/>
      <c r="K168" s="173"/>
    </row>
    <row r="169" spans="1:11">
      <c r="A169" s="256">
        <v>6.2</v>
      </c>
      <c r="B169" s="258" t="s">
        <v>339</v>
      </c>
      <c r="C169" s="172"/>
      <c r="D169" s="142"/>
      <c r="E169" s="142"/>
      <c r="F169" s="142"/>
      <c r="G169" s="142"/>
      <c r="H169" s="274"/>
      <c r="I169" s="172"/>
      <c r="J169" s="150"/>
      <c r="K169" s="173"/>
    </row>
    <row r="170" spans="1:11">
      <c r="A170" s="171"/>
      <c r="B170" s="144"/>
      <c r="C170" s="172"/>
      <c r="D170" s="142"/>
      <c r="E170" s="142"/>
      <c r="F170" s="142"/>
      <c r="G170" s="142"/>
      <c r="H170" s="274"/>
      <c r="I170" s="172"/>
      <c r="J170" s="150"/>
      <c r="K170" s="173"/>
    </row>
    <row r="171" spans="1:11" ht="38.25">
      <c r="A171" s="171">
        <v>6.21</v>
      </c>
      <c r="B171" s="144" t="s">
        <v>365</v>
      </c>
      <c r="C171" s="172" t="s">
        <v>9</v>
      </c>
      <c r="D171" s="142">
        <f>5500/500</f>
        <v>11</v>
      </c>
      <c r="E171" s="142">
        <v>4</v>
      </c>
      <c r="F171" s="142"/>
      <c r="G171" s="142"/>
      <c r="H171" s="142"/>
      <c r="I171" s="172">
        <f>D171*E171</f>
        <v>44</v>
      </c>
      <c r="J171" s="150"/>
      <c r="K171" s="173">
        <f>I171*J171</f>
        <v>0</v>
      </c>
    </row>
    <row r="172" spans="1:11">
      <c r="A172" s="171"/>
      <c r="B172" s="144"/>
      <c r="C172" s="172"/>
      <c r="D172" s="142"/>
      <c r="E172" s="142"/>
      <c r="F172" s="142"/>
      <c r="G172" s="142"/>
      <c r="H172" s="142"/>
      <c r="I172" s="172"/>
      <c r="J172" s="150"/>
      <c r="K172" s="173"/>
    </row>
    <row r="173" spans="1:11" s="255" customFormat="1" ht="15">
      <c r="A173" s="420" t="s">
        <v>87</v>
      </c>
      <c r="B173" s="421"/>
      <c r="C173" s="421"/>
      <c r="D173" s="421"/>
      <c r="E173" s="421"/>
      <c r="F173" s="421"/>
      <c r="G173" s="421"/>
      <c r="H173" s="421"/>
      <c r="I173" s="421"/>
      <c r="J173" s="422"/>
      <c r="K173" s="254">
        <f>SUM(K162:K172)</f>
        <v>0</v>
      </c>
    </row>
    <row r="174" spans="1:11" ht="15" customHeight="1">
      <c r="A174" s="428"/>
      <c r="B174" s="429"/>
      <c r="C174" s="429"/>
      <c r="D174" s="429"/>
      <c r="E174" s="429"/>
      <c r="F174" s="429"/>
      <c r="G174" s="429"/>
      <c r="H174" s="429"/>
      <c r="I174" s="429"/>
      <c r="J174" s="429"/>
      <c r="K174" s="430"/>
    </row>
    <row r="175" spans="1:11" ht="14.25" customHeight="1">
      <c r="A175" s="427" t="s">
        <v>88</v>
      </c>
      <c r="B175" s="427"/>
      <c r="C175" s="427"/>
      <c r="D175" s="427"/>
      <c r="E175" s="427"/>
      <c r="F175" s="427"/>
      <c r="G175" s="427"/>
      <c r="H175" s="427"/>
      <c r="I175" s="427"/>
      <c r="J175" s="427"/>
      <c r="K175" s="254">
        <f>K37+K77+K95+K125+K161+K173</f>
        <v>0</v>
      </c>
    </row>
    <row r="176" spans="1:11" ht="55.5" customHeight="1">
      <c r="A176" s="426" t="s">
        <v>163</v>
      </c>
      <c r="B176" s="426"/>
      <c r="C176" s="426"/>
      <c r="D176" s="426"/>
      <c r="E176" s="426"/>
      <c r="F176" s="426"/>
      <c r="G176" s="426"/>
      <c r="H176" s="426"/>
      <c r="I176" s="426"/>
      <c r="J176" s="426"/>
      <c r="K176" s="426"/>
    </row>
    <row r="178" spans="2:2">
      <c r="B178" s="300"/>
    </row>
  </sheetData>
  <mergeCells count="12">
    <mergeCell ref="A176:K176"/>
    <mergeCell ref="A175:J175"/>
    <mergeCell ref="A1:I1"/>
    <mergeCell ref="A2:K2"/>
    <mergeCell ref="D3:H3"/>
    <mergeCell ref="A37:J37"/>
    <mergeCell ref="A77:J77"/>
    <mergeCell ref="A95:J95"/>
    <mergeCell ref="A161:J161"/>
    <mergeCell ref="A125:J125"/>
    <mergeCell ref="A174:K174"/>
    <mergeCell ref="A173:J173"/>
  </mergeCells>
  <pageMargins left="0.7" right="0.7" top="0.75" bottom="0.75" header="0.3" footer="0.3"/>
  <pageSetup scale="7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3"/>
  <sheetViews>
    <sheetView zoomScaleNormal="100" zoomScaleSheetLayoutView="90" workbookViewId="0">
      <selection sqref="A1:I1"/>
    </sheetView>
  </sheetViews>
  <sheetFormatPr defaultColWidth="9.140625" defaultRowHeight="14.25"/>
  <cols>
    <col min="1" max="1" width="9.28515625" style="276" customWidth="1"/>
    <col min="2" max="2" width="60.7109375" style="301" customWidth="1"/>
    <col min="3" max="3" width="9.7109375" style="278" customWidth="1"/>
    <col min="4" max="7" width="10.7109375" style="181" hidden="1" customWidth="1"/>
    <col min="8" max="8" width="33.7109375" style="301" hidden="1" customWidth="1"/>
    <col min="9" max="9" width="10.7109375" style="278" customWidth="1"/>
    <col min="10" max="10" width="18" style="278" customWidth="1"/>
    <col min="11" max="11" width="15.5703125" style="181" bestFit="1" customWidth="1"/>
    <col min="12" max="16384" width="9.140625" style="185"/>
  </cols>
  <sheetData>
    <row r="1" spans="1:11" ht="48.75" customHeight="1">
      <c r="A1" s="418" t="s">
        <v>80</v>
      </c>
      <c r="B1" s="419"/>
      <c r="C1" s="419"/>
      <c r="D1" s="419"/>
      <c r="E1" s="419"/>
      <c r="F1" s="419"/>
      <c r="G1" s="419"/>
      <c r="H1" s="419"/>
      <c r="I1" s="419"/>
      <c r="J1" s="302"/>
      <c r="K1" s="242"/>
    </row>
    <row r="2" spans="1:11" ht="14.25" customHeight="1">
      <c r="A2" s="431" t="s">
        <v>383</v>
      </c>
      <c r="B2" s="431"/>
      <c r="C2" s="431"/>
      <c r="D2" s="431"/>
      <c r="E2" s="431"/>
      <c r="F2" s="431"/>
      <c r="G2" s="431"/>
      <c r="H2" s="431"/>
      <c r="I2" s="431"/>
      <c r="J2" s="431"/>
      <c r="K2" s="431"/>
    </row>
    <row r="3" spans="1:11" ht="14.25" customHeight="1">
      <c r="A3" s="279" t="s">
        <v>0</v>
      </c>
      <c r="B3" s="280" t="s">
        <v>1</v>
      </c>
      <c r="C3" s="281" t="s">
        <v>2</v>
      </c>
      <c r="D3" s="432" t="s">
        <v>29</v>
      </c>
      <c r="E3" s="432"/>
      <c r="F3" s="432"/>
      <c r="G3" s="432"/>
      <c r="H3" s="432"/>
      <c r="I3" s="281" t="s">
        <v>79</v>
      </c>
      <c r="J3" s="281" t="s">
        <v>4</v>
      </c>
      <c r="K3" s="281" t="s">
        <v>5</v>
      </c>
    </row>
    <row r="4" spans="1:11">
      <c r="A4" s="256"/>
      <c r="B4" s="257"/>
      <c r="C4" s="172"/>
      <c r="D4" s="174">
        <v>31.2</v>
      </c>
      <c r="E4" s="174">
        <v>10.8</v>
      </c>
      <c r="F4" s="142"/>
      <c r="G4" s="142"/>
      <c r="H4" s="142"/>
      <c r="I4" s="172"/>
      <c r="J4" s="150"/>
      <c r="K4" s="173"/>
    </row>
    <row r="5" spans="1:11">
      <c r="A5" s="247">
        <v>1</v>
      </c>
      <c r="B5" s="248" t="s">
        <v>7</v>
      </c>
      <c r="C5" s="172"/>
      <c r="D5" s="142"/>
      <c r="E5" s="142"/>
      <c r="F5" s="142"/>
      <c r="G5" s="142"/>
      <c r="H5" s="183"/>
      <c r="I5" s="172"/>
      <c r="J5" s="150"/>
      <c r="K5" s="173"/>
    </row>
    <row r="6" spans="1:11" ht="15">
      <c r="A6" s="249"/>
      <c r="B6" s="248"/>
      <c r="C6" s="172"/>
      <c r="D6" s="142"/>
      <c r="E6" s="142"/>
      <c r="F6" s="142"/>
      <c r="G6" s="142"/>
      <c r="H6" s="183"/>
      <c r="I6" s="172"/>
      <c r="J6" s="150"/>
      <c r="K6" s="173"/>
    </row>
    <row r="7" spans="1:11" ht="38.25">
      <c r="A7" s="171"/>
      <c r="B7" s="144" t="s">
        <v>117</v>
      </c>
      <c r="C7" s="145"/>
      <c r="D7" s="229"/>
      <c r="E7" s="229"/>
      <c r="F7" s="229"/>
      <c r="G7" s="229"/>
      <c r="H7" s="229"/>
      <c r="I7" s="145"/>
      <c r="J7" s="145"/>
      <c r="K7" s="173"/>
    </row>
    <row r="8" spans="1:11">
      <c r="A8" s="171"/>
      <c r="B8" s="144"/>
      <c r="C8" s="145"/>
      <c r="D8" s="229"/>
      <c r="E8" s="229"/>
      <c r="F8" s="229"/>
      <c r="G8" s="229"/>
      <c r="H8" s="229"/>
      <c r="I8" s="145"/>
      <c r="J8" s="145"/>
      <c r="K8" s="173"/>
    </row>
    <row r="9" spans="1:11">
      <c r="A9" s="247">
        <v>1.1000000000000001</v>
      </c>
      <c r="B9" s="248" t="s">
        <v>133</v>
      </c>
      <c r="C9" s="145"/>
      <c r="D9" s="229"/>
      <c r="E9" s="229"/>
      <c r="F9" s="229"/>
      <c r="G9" s="229"/>
      <c r="H9" s="229"/>
      <c r="I9" s="145"/>
      <c r="J9" s="145"/>
      <c r="K9" s="173"/>
    </row>
    <row r="10" spans="1:11">
      <c r="A10" s="171"/>
      <c r="B10" s="144"/>
      <c r="C10" s="145"/>
      <c r="D10" s="229"/>
      <c r="E10" s="229"/>
      <c r="F10" s="229"/>
      <c r="G10" s="229"/>
      <c r="H10" s="229"/>
      <c r="I10" s="145"/>
      <c r="J10" s="145"/>
      <c r="K10" s="173"/>
    </row>
    <row r="11" spans="1:11" ht="38.25">
      <c r="A11" s="171">
        <v>1.1100000000000001</v>
      </c>
      <c r="B11" s="144" t="s">
        <v>358</v>
      </c>
      <c r="C11" s="145" t="s">
        <v>33</v>
      </c>
      <c r="D11" s="142">
        <f>D4+0.4</f>
        <v>31.599999999999998</v>
      </c>
      <c r="E11" s="142">
        <f>E4+0.4</f>
        <v>11.200000000000001</v>
      </c>
      <c r="F11" s="145"/>
      <c r="G11" s="229"/>
      <c r="H11" s="229"/>
      <c r="I11" s="211">
        <f>D11*E11</f>
        <v>353.92</v>
      </c>
      <c r="J11" s="173"/>
      <c r="K11" s="173">
        <f>I11*J11</f>
        <v>0</v>
      </c>
    </row>
    <row r="12" spans="1:11">
      <c r="A12" s="171"/>
      <c r="B12" s="144"/>
      <c r="C12" s="145"/>
      <c r="D12" s="229"/>
      <c r="E12" s="229"/>
      <c r="F12" s="229"/>
      <c r="G12" s="229"/>
      <c r="H12" s="229"/>
      <c r="I12" s="145"/>
      <c r="J12" s="145"/>
      <c r="K12" s="173"/>
    </row>
    <row r="13" spans="1:11">
      <c r="A13" s="247">
        <v>1.2</v>
      </c>
      <c r="B13" s="248" t="s">
        <v>145</v>
      </c>
      <c r="C13" s="145"/>
      <c r="D13" s="229"/>
      <c r="E13" s="229"/>
      <c r="F13" s="229"/>
      <c r="G13" s="229"/>
      <c r="H13" s="229"/>
      <c r="I13" s="145"/>
      <c r="J13" s="145"/>
      <c r="K13" s="173"/>
    </row>
    <row r="14" spans="1:11">
      <c r="A14" s="171"/>
      <c r="B14" s="144"/>
      <c r="C14" s="145"/>
      <c r="D14" s="229"/>
      <c r="E14" s="229"/>
      <c r="F14" s="229"/>
      <c r="G14" s="229"/>
      <c r="H14" s="229"/>
      <c r="I14" s="145"/>
      <c r="J14" s="145"/>
      <c r="K14" s="173"/>
    </row>
    <row r="15" spans="1:11" ht="29.25" customHeight="1">
      <c r="A15" s="171"/>
      <c r="B15" s="144" t="s">
        <v>171</v>
      </c>
      <c r="C15" s="145"/>
      <c r="D15" s="229"/>
      <c r="E15" s="229"/>
      <c r="F15" s="229"/>
      <c r="G15" s="229"/>
      <c r="H15" s="229"/>
      <c r="I15" s="145"/>
      <c r="J15" s="145"/>
      <c r="K15" s="173"/>
    </row>
    <row r="16" spans="1:11">
      <c r="A16" s="171"/>
      <c r="B16" s="144"/>
      <c r="C16" s="145"/>
      <c r="D16" s="229"/>
      <c r="F16" s="229"/>
      <c r="G16" s="229"/>
      <c r="H16" s="229"/>
      <c r="I16" s="145"/>
      <c r="J16" s="145"/>
      <c r="K16" s="173"/>
    </row>
    <row r="17" spans="1:11" ht="42" customHeight="1">
      <c r="A17" s="171">
        <v>1.21</v>
      </c>
      <c r="B17" s="144" t="s">
        <v>361</v>
      </c>
      <c r="C17" s="145" t="s">
        <v>30</v>
      </c>
      <c r="D17" s="142">
        <f>D11</f>
        <v>31.599999999999998</v>
      </c>
      <c r="E17" s="145">
        <f>E11</f>
        <v>11.200000000000001</v>
      </c>
      <c r="F17" s="142">
        <v>0.75</v>
      </c>
      <c r="G17" s="229"/>
      <c r="H17" s="229"/>
      <c r="I17" s="211">
        <f>D17*E17*F17</f>
        <v>265.44</v>
      </c>
      <c r="J17" s="173"/>
      <c r="K17" s="173">
        <f>I17*J17</f>
        <v>0</v>
      </c>
    </row>
    <row r="18" spans="1:11" ht="16.5" customHeight="1">
      <c r="A18" s="171"/>
      <c r="B18" s="144"/>
      <c r="C18" s="145"/>
      <c r="D18" s="229"/>
      <c r="E18" s="229"/>
      <c r="F18" s="229"/>
      <c r="G18" s="229"/>
      <c r="H18" s="229"/>
      <c r="I18" s="145"/>
      <c r="J18" s="145"/>
      <c r="K18" s="173"/>
    </row>
    <row r="19" spans="1:11" ht="38.25">
      <c r="A19" s="250">
        <v>1.22</v>
      </c>
      <c r="B19" s="144" t="s">
        <v>239</v>
      </c>
      <c r="C19" s="145" t="s">
        <v>30</v>
      </c>
      <c r="D19" s="229"/>
      <c r="E19" s="229"/>
      <c r="F19" s="229"/>
      <c r="G19" s="229"/>
      <c r="H19" s="229" t="s">
        <v>100</v>
      </c>
      <c r="I19" s="211">
        <f>(I11*0.25)+(0.3*I17)</f>
        <v>168.11199999999999</v>
      </c>
      <c r="J19" s="173"/>
      <c r="K19" s="173">
        <f>I19*J19</f>
        <v>0</v>
      </c>
    </row>
    <row r="20" spans="1:11">
      <c r="A20" s="250"/>
      <c r="B20" s="144"/>
      <c r="C20" s="145"/>
      <c r="D20" s="229"/>
      <c r="E20" s="229"/>
      <c r="F20" s="229"/>
      <c r="G20" s="229"/>
      <c r="H20" s="229"/>
      <c r="I20" s="145"/>
      <c r="J20" s="145"/>
      <c r="K20" s="173"/>
    </row>
    <row r="21" spans="1:11" ht="36" customHeight="1">
      <c r="A21" s="252">
        <v>1.23</v>
      </c>
      <c r="B21" s="148" t="s">
        <v>281</v>
      </c>
      <c r="C21" s="223" t="s">
        <v>30</v>
      </c>
      <c r="D21" s="287"/>
      <c r="E21" s="287"/>
      <c r="F21" s="287"/>
      <c r="G21" s="287"/>
      <c r="H21" s="182" t="s">
        <v>155</v>
      </c>
      <c r="I21" s="227">
        <f>60%*(SUM($I17))</f>
        <v>159.26399999999998</v>
      </c>
      <c r="J21" s="173"/>
      <c r="K21" s="173">
        <f>I21*J21</f>
        <v>0</v>
      </c>
    </row>
    <row r="22" spans="1:11">
      <c r="A22" s="252"/>
      <c r="B22" s="148"/>
      <c r="C22" s="223"/>
      <c r="D22" s="287"/>
      <c r="E22" s="287"/>
      <c r="F22" s="287"/>
      <c r="G22" s="287"/>
      <c r="H22" s="148"/>
      <c r="I22" s="223"/>
      <c r="J22" s="145"/>
      <c r="K22" s="173"/>
    </row>
    <row r="23" spans="1:11" ht="36.75" customHeight="1">
      <c r="A23" s="252">
        <v>1.24</v>
      </c>
      <c r="B23" s="148" t="s">
        <v>31</v>
      </c>
      <c r="C23" s="223" t="s">
        <v>30</v>
      </c>
      <c r="D23" s="287"/>
      <c r="E23" s="287"/>
      <c r="F23" s="287"/>
      <c r="G23" s="287"/>
      <c r="H23" s="182" t="s">
        <v>114</v>
      </c>
      <c r="I23" s="227">
        <f>30%*(SUM($I17))</f>
        <v>79.631999999999991</v>
      </c>
      <c r="J23" s="173"/>
      <c r="K23" s="173">
        <f>I23*J23</f>
        <v>0</v>
      </c>
    </row>
    <row r="24" spans="1:11">
      <c r="A24" s="252"/>
      <c r="B24" s="148"/>
      <c r="C24" s="223"/>
      <c r="D24" s="287"/>
      <c r="E24" s="287"/>
      <c r="F24" s="287"/>
      <c r="G24" s="287"/>
      <c r="H24" s="148"/>
      <c r="I24" s="223"/>
      <c r="J24" s="145"/>
      <c r="K24" s="173"/>
    </row>
    <row r="25" spans="1:11" ht="25.5">
      <c r="A25" s="252">
        <v>1.25</v>
      </c>
      <c r="B25" s="148" t="s">
        <v>32</v>
      </c>
      <c r="C25" s="223" t="s">
        <v>30</v>
      </c>
      <c r="D25" s="287"/>
      <c r="E25" s="287"/>
      <c r="F25" s="287"/>
      <c r="G25" s="287"/>
      <c r="H25" s="182" t="s">
        <v>160</v>
      </c>
      <c r="I25" s="227">
        <f>10%*(SUM($I17))</f>
        <v>26.544</v>
      </c>
      <c r="J25" s="173"/>
      <c r="K25" s="173">
        <f>I25*J25</f>
        <v>0</v>
      </c>
    </row>
    <row r="26" spans="1:11">
      <c r="A26" s="252"/>
      <c r="B26" s="148"/>
      <c r="C26" s="223"/>
      <c r="D26" s="287"/>
      <c r="E26" s="287"/>
      <c r="F26" s="287"/>
      <c r="G26" s="287"/>
      <c r="H26" s="182"/>
      <c r="I26" s="223"/>
      <c r="J26" s="173"/>
      <c r="K26" s="173"/>
    </row>
    <row r="27" spans="1:11">
      <c r="A27" s="253">
        <v>1.3</v>
      </c>
      <c r="B27" s="248" t="s">
        <v>226</v>
      </c>
      <c r="C27" s="223"/>
      <c r="D27" s="287"/>
      <c r="E27" s="287"/>
      <c r="F27" s="287"/>
      <c r="G27" s="287"/>
      <c r="H27" s="182"/>
      <c r="I27" s="223"/>
      <c r="J27" s="173"/>
      <c r="K27" s="173"/>
    </row>
    <row r="28" spans="1:11">
      <c r="A28" s="252"/>
      <c r="B28" s="148"/>
      <c r="C28" s="223"/>
      <c r="D28" s="287"/>
      <c r="E28" s="287"/>
      <c r="F28" s="287"/>
      <c r="G28" s="287"/>
      <c r="H28" s="182"/>
      <c r="I28" s="223"/>
      <c r="J28" s="173"/>
      <c r="K28" s="173"/>
    </row>
    <row r="29" spans="1:11" ht="51">
      <c r="A29" s="252">
        <v>1.31</v>
      </c>
      <c r="B29" s="148" t="s">
        <v>306</v>
      </c>
      <c r="C29" s="223" t="s">
        <v>30</v>
      </c>
      <c r="D29" s="287">
        <v>0.23699999999999999</v>
      </c>
      <c r="E29" s="287"/>
      <c r="F29" s="287">
        <v>10.4</v>
      </c>
      <c r="G29" s="287">
        <v>14.6</v>
      </c>
      <c r="H29" s="182"/>
      <c r="I29" s="223">
        <f>((F29+G29)*4)*D29</f>
        <v>23.7</v>
      </c>
      <c r="J29" s="173"/>
      <c r="K29" s="173">
        <f>I29*J29</f>
        <v>0</v>
      </c>
    </row>
    <row r="30" spans="1:11">
      <c r="A30" s="171"/>
      <c r="B30" s="144"/>
      <c r="C30" s="169"/>
      <c r="D30" s="229"/>
      <c r="E30" s="229"/>
      <c r="F30" s="229"/>
      <c r="G30" s="229"/>
      <c r="H30" s="229"/>
      <c r="I30" s="169"/>
      <c r="J30" s="169"/>
      <c r="K30" s="173"/>
    </row>
    <row r="31" spans="1:11">
      <c r="A31" s="247">
        <v>1.4</v>
      </c>
      <c r="B31" s="248" t="s">
        <v>135</v>
      </c>
      <c r="C31" s="293"/>
      <c r="D31" s="287"/>
      <c r="E31" s="287"/>
      <c r="F31" s="287"/>
      <c r="G31" s="287"/>
      <c r="H31" s="287"/>
      <c r="I31" s="293"/>
      <c r="J31" s="169"/>
      <c r="K31" s="173"/>
    </row>
    <row r="32" spans="1:11">
      <c r="A32" s="253"/>
      <c r="B32" s="148"/>
      <c r="C32" s="293"/>
      <c r="D32" s="287"/>
      <c r="E32" s="287"/>
      <c r="F32" s="287"/>
      <c r="G32" s="287"/>
      <c r="H32" s="287"/>
      <c r="I32" s="293"/>
      <c r="J32" s="169"/>
      <c r="K32" s="173"/>
    </row>
    <row r="33" spans="1:11" ht="38.25">
      <c r="A33" s="252">
        <v>1.41</v>
      </c>
      <c r="B33" s="148" t="s">
        <v>245</v>
      </c>
      <c r="C33" s="234" t="s">
        <v>33</v>
      </c>
      <c r="D33" s="287">
        <v>14.2</v>
      </c>
      <c r="E33" s="287">
        <v>10</v>
      </c>
      <c r="F33" s="287"/>
      <c r="G33" s="303"/>
      <c r="H33" s="287"/>
      <c r="I33" s="212">
        <f>2*D33*E33</f>
        <v>284</v>
      </c>
      <c r="J33" s="150"/>
      <c r="K33" s="173">
        <f>I33*J33</f>
        <v>0</v>
      </c>
    </row>
    <row r="34" spans="1:11">
      <c r="A34" s="253"/>
      <c r="B34" s="148"/>
      <c r="C34" s="293"/>
      <c r="D34" s="185"/>
      <c r="E34" s="287"/>
      <c r="F34" s="287"/>
      <c r="G34" s="287"/>
      <c r="H34" s="287"/>
      <c r="I34" s="293"/>
      <c r="J34" s="169"/>
      <c r="K34" s="173"/>
    </row>
    <row r="35" spans="1:11" ht="27.75" customHeight="1">
      <c r="A35" s="171">
        <v>1.42</v>
      </c>
      <c r="B35" s="144" t="s">
        <v>244</v>
      </c>
      <c r="C35" s="172" t="s">
        <v>30</v>
      </c>
      <c r="D35" s="271">
        <v>1</v>
      </c>
      <c r="E35" s="271">
        <v>8.9</v>
      </c>
      <c r="F35" s="229">
        <v>0.25</v>
      </c>
      <c r="G35" s="185"/>
      <c r="H35" s="229"/>
      <c r="I35" s="210">
        <f>D35*E35*F35</f>
        <v>2.2250000000000001</v>
      </c>
      <c r="J35" s="150"/>
      <c r="K35" s="173">
        <f>I35*J35</f>
        <v>0</v>
      </c>
    </row>
    <row r="36" spans="1:11">
      <c r="A36" s="171"/>
      <c r="B36" s="144"/>
      <c r="C36" s="145"/>
      <c r="D36" s="229"/>
      <c r="E36" s="229"/>
      <c r="F36" s="229"/>
      <c r="G36" s="229"/>
      <c r="H36" s="229"/>
      <c r="I36" s="145"/>
      <c r="J36" s="145"/>
      <c r="K36" s="173"/>
    </row>
    <row r="37" spans="1:11" s="255" customFormat="1" ht="15">
      <c r="A37" s="420" t="s">
        <v>91</v>
      </c>
      <c r="B37" s="421"/>
      <c r="C37" s="421"/>
      <c r="D37" s="421"/>
      <c r="E37" s="421"/>
      <c r="F37" s="421"/>
      <c r="G37" s="421"/>
      <c r="H37" s="421"/>
      <c r="I37" s="421"/>
      <c r="J37" s="422"/>
      <c r="K37" s="254">
        <f>SUM(K4:K36)</f>
        <v>0</v>
      </c>
    </row>
    <row r="38" spans="1:11" s="255" customFormat="1" ht="15">
      <c r="A38" s="246"/>
      <c r="B38" s="149"/>
      <c r="C38" s="264"/>
      <c r="D38" s="178"/>
      <c r="E38" s="178"/>
      <c r="F38" s="178"/>
      <c r="G38" s="178"/>
      <c r="H38" s="178"/>
      <c r="I38" s="264"/>
      <c r="J38" s="265"/>
      <c r="K38" s="266"/>
    </row>
    <row r="39" spans="1:11">
      <c r="A39" s="247">
        <v>2</v>
      </c>
      <c r="B39" s="248" t="s">
        <v>96</v>
      </c>
      <c r="C39" s="172"/>
      <c r="D39" s="142"/>
      <c r="E39" s="142"/>
      <c r="F39" s="142"/>
      <c r="G39" s="142"/>
      <c r="H39" s="142"/>
      <c r="I39" s="172"/>
      <c r="J39" s="150"/>
      <c r="K39" s="173"/>
    </row>
    <row r="40" spans="1:11">
      <c r="A40" s="247"/>
      <c r="B40" s="248"/>
      <c r="C40" s="172"/>
      <c r="D40" s="142"/>
      <c r="E40" s="142"/>
      <c r="F40" s="142"/>
      <c r="G40" s="142"/>
      <c r="H40" s="142"/>
      <c r="I40" s="172"/>
      <c r="J40" s="150"/>
      <c r="K40" s="173"/>
    </row>
    <row r="41" spans="1:11">
      <c r="A41" s="256">
        <v>2.1</v>
      </c>
      <c r="B41" s="258" t="s">
        <v>183</v>
      </c>
      <c r="C41" s="172"/>
      <c r="D41" s="142"/>
      <c r="E41" s="142"/>
      <c r="F41" s="142"/>
      <c r="G41" s="142"/>
      <c r="H41" s="142"/>
      <c r="I41" s="172"/>
      <c r="J41" s="150"/>
      <c r="K41" s="173"/>
    </row>
    <row r="42" spans="1:11">
      <c r="A42" s="256"/>
      <c r="B42" s="148"/>
      <c r="C42" s="172"/>
      <c r="D42" s="142"/>
      <c r="E42" s="142"/>
      <c r="F42" s="142"/>
      <c r="G42" s="142"/>
      <c r="H42" s="142"/>
      <c r="I42" s="172"/>
      <c r="J42" s="150"/>
      <c r="K42" s="173"/>
    </row>
    <row r="43" spans="1:11" ht="28.5" customHeight="1">
      <c r="A43" s="293">
        <v>2.11</v>
      </c>
      <c r="B43" s="148" t="s">
        <v>270</v>
      </c>
      <c r="C43" s="172" t="s">
        <v>33</v>
      </c>
      <c r="D43" s="229"/>
      <c r="E43" s="229"/>
      <c r="F43" s="229"/>
      <c r="G43" s="229"/>
      <c r="H43" s="229"/>
      <c r="I43" s="210">
        <f>D35*E35</f>
        <v>8.9</v>
      </c>
      <c r="J43" s="150"/>
      <c r="K43" s="173">
        <f>I43*J43</f>
        <v>0</v>
      </c>
    </row>
    <row r="44" spans="1:11">
      <c r="A44" s="256"/>
      <c r="B44" s="294"/>
      <c r="C44" s="172"/>
      <c r="D44" s="142"/>
      <c r="E44" s="142"/>
      <c r="F44" s="142"/>
      <c r="G44" s="142"/>
      <c r="H44" s="142"/>
      <c r="I44" s="172"/>
      <c r="J44" s="150"/>
      <c r="K44" s="173"/>
    </row>
    <row r="45" spans="1:11">
      <c r="A45" s="247">
        <v>2.2000000000000002</v>
      </c>
      <c r="B45" s="248" t="s">
        <v>44</v>
      </c>
      <c r="C45" s="172"/>
      <c r="D45" s="142"/>
      <c r="E45" s="142"/>
      <c r="F45" s="142"/>
      <c r="G45" s="142"/>
      <c r="H45" s="142"/>
      <c r="I45" s="172"/>
      <c r="J45" s="150"/>
      <c r="K45" s="173"/>
    </row>
    <row r="46" spans="1:11" ht="15">
      <c r="A46" s="247"/>
      <c r="B46" s="295"/>
      <c r="C46" s="172"/>
      <c r="D46" s="142"/>
      <c r="E46" s="142"/>
      <c r="F46" s="142"/>
      <c r="G46" s="142"/>
      <c r="H46" s="142"/>
      <c r="I46" s="172"/>
      <c r="J46" s="150"/>
      <c r="K46" s="173"/>
    </row>
    <row r="47" spans="1:11" ht="51">
      <c r="A47" s="171">
        <v>2.21</v>
      </c>
      <c r="B47" s="144" t="s">
        <v>307</v>
      </c>
      <c r="C47" s="172" t="s">
        <v>33</v>
      </c>
      <c r="D47" s="142"/>
      <c r="E47" s="142"/>
      <c r="F47" s="142"/>
      <c r="G47" s="142"/>
      <c r="H47" s="142"/>
      <c r="I47" s="210">
        <f>E35*D35</f>
        <v>8.9</v>
      </c>
      <c r="J47" s="150"/>
      <c r="K47" s="173">
        <f>I47*J47</f>
        <v>0</v>
      </c>
    </row>
    <row r="48" spans="1:11">
      <c r="A48" s="171"/>
      <c r="B48" s="144"/>
      <c r="C48" s="172"/>
      <c r="D48" s="142"/>
      <c r="E48" s="142"/>
      <c r="F48" s="142"/>
      <c r="G48" s="142"/>
      <c r="H48" s="142"/>
      <c r="I48" s="172"/>
      <c r="J48" s="150"/>
      <c r="K48" s="173"/>
    </row>
    <row r="49" spans="1:11" ht="51">
      <c r="A49" s="252">
        <v>2.2200000000000002</v>
      </c>
      <c r="B49" s="144" t="s">
        <v>308</v>
      </c>
      <c r="C49" s="223" t="s">
        <v>30</v>
      </c>
      <c r="D49" s="142">
        <v>1</v>
      </c>
      <c r="E49" s="142">
        <v>8.9</v>
      </c>
      <c r="F49" s="142">
        <v>0.15</v>
      </c>
      <c r="G49" s="142"/>
      <c r="H49" s="142"/>
      <c r="I49" s="210">
        <f>D49*E49*F49</f>
        <v>1.335</v>
      </c>
      <c r="J49" s="150"/>
      <c r="K49" s="173">
        <f>I49*J49</f>
        <v>0</v>
      </c>
    </row>
    <row r="50" spans="1:11">
      <c r="A50" s="171"/>
      <c r="B50" s="257"/>
      <c r="C50" s="172"/>
      <c r="D50" s="142"/>
      <c r="E50" s="142"/>
      <c r="F50" s="142"/>
      <c r="G50" s="142"/>
      <c r="H50" s="142"/>
      <c r="I50" s="172"/>
      <c r="J50" s="150"/>
      <c r="K50" s="173"/>
    </row>
    <row r="51" spans="1:11">
      <c r="A51" s="256">
        <v>2.2999999999999998</v>
      </c>
      <c r="B51" s="258" t="s">
        <v>65</v>
      </c>
      <c r="C51" s="172"/>
      <c r="D51" s="142"/>
      <c r="E51" s="142"/>
      <c r="F51" s="142"/>
      <c r="G51" s="142"/>
      <c r="H51" s="142"/>
      <c r="I51" s="172"/>
      <c r="J51" s="150"/>
      <c r="K51" s="173"/>
    </row>
    <row r="52" spans="1:11">
      <c r="A52" s="256"/>
      <c r="B52" s="258"/>
      <c r="C52" s="172"/>
      <c r="D52" s="142"/>
      <c r="E52" s="142"/>
      <c r="F52" s="142"/>
      <c r="G52" s="142"/>
      <c r="H52" s="142"/>
      <c r="I52" s="172"/>
      <c r="J52" s="150"/>
      <c r="K52" s="173"/>
    </row>
    <row r="53" spans="1:11" ht="63.75">
      <c r="A53" s="171">
        <v>2.31</v>
      </c>
      <c r="B53" s="148" t="s">
        <v>278</v>
      </c>
      <c r="C53" s="172" t="s">
        <v>33</v>
      </c>
      <c r="D53" s="142"/>
      <c r="E53" s="142"/>
      <c r="F53" s="142"/>
      <c r="G53" s="142"/>
      <c r="H53" s="142"/>
      <c r="I53" s="210">
        <f>I47</f>
        <v>8.9</v>
      </c>
      <c r="J53" s="150"/>
      <c r="K53" s="173">
        <f>I53*J53</f>
        <v>0</v>
      </c>
    </row>
    <row r="54" spans="1:11">
      <c r="A54" s="171"/>
      <c r="B54" s="148"/>
      <c r="C54" s="172"/>
      <c r="D54" s="142"/>
      <c r="E54" s="142"/>
      <c r="F54" s="142"/>
      <c r="G54" s="142"/>
      <c r="H54" s="142"/>
      <c r="I54" s="172"/>
      <c r="J54" s="150"/>
      <c r="K54" s="173"/>
    </row>
    <row r="55" spans="1:11">
      <c r="A55" s="256">
        <v>2.4</v>
      </c>
      <c r="B55" s="258" t="s">
        <v>98</v>
      </c>
      <c r="C55" s="172"/>
      <c r="D55" s="229"/>
      <c r="E55" s="229"/>
      <c r="F55" s="229"/>
      <c r="G55" s="229"/>
      <c r="H55" s="229"/>
      <c r="I55" s="142"/>
      <c r="J55" s="229"/>
      <c r="K55" s="173"/>
    </row>
    <row r="56" spans="1:11">
      <c r="A56" s="256"/>
      <c r="B56" s="258"/>
      <c r="C56" s="172"/>
      <c r="D56" s="229"/>
      <c r="E56" s="229"/>
      <c r="F56" s="229"/>
      <c r="G56" s="229"/>
      <c r="H56" s="229"/>
      <c r="I56" s="142"/>
      <c r="J56" s="229"/>
      <c r="K56" s="173"/>
    </row>
    <row r="57" spans="1:11" ht="38.25">
      <c r="A57" s="171">
        <v>2.41</v>
      </c>
      <c r="B57" s="148" t="s">
        <v>309</v>
      </c>
      <c r="C57" s="223" t="s">
        <v>33</v>
      </c>
      <c r="D57" s="142"/>
      <c r="E57" s="142"/>
      <c r="F57" s="142"/>
      <c r="G57" s="229"/>
      <c r="H57" s="229"/>
      <c r="I57" s="210">
        <f>I53</f>
        <v>8.9</v>
      </c>
      <c r="J57" s="150"/>
      <c r="K57" s="173">
        <f>I57*J57</f>
        <v>0</v>
      </c>
    </row>
    <row r="58" spans="1:11">
      <c r="A58" s="252"/>
      <c r="B58" s="257"/>
      <c r="C58" s="172"/>
      <c r="D58" s="142"/>
      <c r="E58" s="142"/>
      <c r="F58" s="142"/>
      <c r="G58" s="142"/>
      <c r="H58" s="142"/>
      <c r="I58" s="172"/>
      <c r="J58" s="150"/>
      <c r="K58" s="173"/>
    </row>
    <row r="59" spans="1:11">
      <c r="A59" s="253">
        <v>2.5</v>
      </c>
      <c r="B59" s="272" t="s">
        <v>246</v>
      </c>
      <c r="C59" s="172"/>
      <c r="D59" s="142"/>
      <c r="E59" s="142"/>
      <c r="F59" s="142"/>
      <c r="G59" s="142"/>
      <c r="H59" s="142"/>
      <c r="I59" s="172"/>
      <c r="J59" s="150"/>
      <c r="K59" s="261"/>
    </row>
    <row r="60" spans="1:11">
      <c r="A60" s="252"/>
      <c r="B60" s="257"/>
      <c r="C60" s="172"/>
      <c r="D60" s="142"/>
      <c r="E60" s="142"/>
      <c r="F60" s="142"/>
      <c r="G60" s="142"/>
      <c r="H60" s="142"/>
      <c r="I60" s="172"/>
      <c r="J60" s="150"/>
      <c r="K60" s="261"/>
    </row>
    <row r="61" spans="1:11" s="181" customFormat="1" ht="95.25" customHeight="1">
      <c r="A61" s="252">
        <v>2.5099999999999998</v>
      </c>
      <c r="B61" s="144" t="s">
        <v>227</v>
      </c>
      <c r="C61" s="172" t="s">
        <v>9</v>
      </c>
      <c r="D61" s="142"/>
      <c r="E61" s="142"/>
      <c r="F61" s="142"/>
      <c r="G61" s="142"/>
      <c r="H61" s="142"/>
      <c r="I61" s="172">
        <v>22</v>
      </c>
      <c r="J61" s="230"/>
      <c r="K61" s="261">
        <f>I61*J61</f>
        <v>0</v>
      </c>
    </row>
    <row r="62" spans="1:11" s="255" customFormat="1" ht="15">
      <c r="A62" s="256"/>
      <c r="B62" s="304"/>
      <c r="C62" s="172"/>
      <c r="D62" s="142"/>
      <c r="E62" s="142"/>
      <c r="F62" s="142"/>
      <c r="G62" s="142"/>
      <c r="H62" s="183"/>
      <c r="I62" s="172"/>
      <c r="J62" s="150"/>
      <c r="K62" s="173"/>
    </row>
    <row r="63" spans="1:11" s="181" customFormat="1">
      <c r="A63" s="420" t="s">
        <v>83</v>
      </c>
      <c r="B63" s="421"/>
      <c r="C63" s="421"/>
      <c r="D63" s="421"/>
      <c r="E63" s="421"/>
      <c r="F63" s="421"/>
      <c r="G63" s="421"/>
      <c r="H63" s="421"/>
      <c r="I63" s="421"/>
      <c r="J63" s="422"/>
      <c r="K63" s="254">
        <f>SUM(K39:K62)</f>
        <v>0</v>
      </c>
    </row>
    <row r="64" spans="1:11" s="255" customFormat="1" ht="15">
      <c r="A64" s="246"/>
      <c r="B64" s="149"/>
      <c r="C64" s="264"/>
      <c r="D64" s="178"/>
      <c r="E64" s="178"/>
      <c r="F64" s="178"/>
      <c r="G64" s="178"/>
      <c r="H64" s="178"/>
      <c r="I64" s="264"/>
      <c r="J64" s="265"/>
      <c r="K64" s="266"/>
    </row>
    <row r="65" spans="1:11">
      <c r="A65" s="247">
        <v>3</v>
      </c>
      <c r="B65" s="248" t="s">
        <v>38</v>
      </c>
      <c r="C65" s="172"/>
      <c r="D65" s="142"/>
      <c r="E65" s="142"/>
      <c r="F65" s="142"/>
      <c r="G65" s="142"/>
      <c r="H65" s="142"/>
      <c r="I65" s="172"/>
      <c r="J65" s="150"/>
      <c r="K65" s="173"/>
    </row>
    <row r="66" spans="1:11">
      <c r="A66" s="247"/>
      <c r="B66" s="248"/>
      <c r="C66" s="172"/>
      <c r="D66" s="142"/>
      <c r="E66" s="142"/>
      <c r="F66" s="142"/>
      <c r="G66" s="142"/>
      <c r="H66" s="142"/>
      <c r="I66" s="172"/>
      <c r="J66" s="150"/>
      <c r="K66" s="173"/>
    </row>
    <row r="67" spans="1:11">
      <c r="A67" s="256">
        <v>3.1</v>
      </c>
      <c r="B67" s="248" t="s">
        <v>142</v>
      </c>
      <c r="C67" s="172"/>
      <c r="D67" s="142"/>
      <c r="E67" s="142"/>
      <c r="F67" s="142"/>
      <c r="G67" s="142"/>
      <c r="H67" s="142"/>
      <c r="I67" s="172"/>
      <c r="J67" s="150"/>
      <c r="K67" s="173"/>
    </row>
    <row r="68" spans="1:11">
      <c r="A68" s="252"/>
      <c r="B68" s="257"/>
      <c r="C68" s="172"/>
      <c r="D68" s="142"/>
      <c r="E68" s="142"/>
      <c r="F68" s="142"/>
      <c r="G68" s="142"/>
      <c r="H68" s="142"/>
      <c r="I68" s="172"/>
      <c r="J68" s="150"/>
      <c r="K68" s="173"/>
    </row>
    <row r="69" spans="1:11" ht="44.25" customHeight="1">
      <c r="A69" s="171"/>
      <c r="B69" s="148" t="s">
        <v>173</v>
      </c>
      <c r="C69" s="172"/>
      <c r="D69" s="142"/>
      <c r="E69" s="142"/>
      <c r="F69" s="142"/>
      <c r="G69" s="142"/>
      <c r="H69" s="142"/>
      <c r="I69" s="172"/>
      <c r="J69" s="150"/>
      <c r="K69" s="173"/>
    </row>
    <row r="70" spans="1:11" ht="15" customHeight="1">
      <c r="A70" s="256"/>
      <c r="B70" s="148"/>
      <c r="C70" s="233"/>
      <c r="D70" s="177"/>
      <c r="E70" s="177"/>
      <c r="F70" s="177"/>
      <c r="G70" s="177"/>
      <c r="H70" s="177"/>
      <c r="I70" s="233"/>
      <c r="J70" s="150"/>
      <c r="K70" s="261"/>
    </row>
    <row r="71" spans="1:11" ht="15.75">
      <c r="A71" s="252">
        <v>3.11</v>
      </c>
      <c r="B71" s="144" t="s">
        <v>243</v>
      </c>
      <c r="C71" s="234" t="s">
        <v>33</v>
      </c>
      <c r="D71" s="305">
        <v>1.2</v>
      </c>
      <c r="E71" s="177">
        <v>8.9</v>
      </c>
      <c r="F71" s="306">
        <v>0.7</v>
      </c>
      <c r="G71" s="307"/>
      <c r="H71" s="307"/>
      <c r="I71" s="308">
        <f>2*((D71*E71)+(F71*D71))</f>
        <v>23.04</v>
      </c>
      <c r="J71" s="230"/>
      <c r="K71" s="261">
        <f>I71*J71</f>
        <v>0</v>
      </c>
    </row>
    <row r="72" spans="1:11">
      <c r="A72" s="252"/>
      <c r="B72" s="144"/>
      <c r="C72" s="234"/>
      <c r="D72" s="305"/>
      <c r="E72" s="177"/>
      <c r="F72" s="306"/>
      <c r="G72" s="307"/>
      <c r="H72" s="307"/>
      <c r="I72" s="308"/>
      <c r="J72" s="230"/>
      <c r="K72" s="261"/>
    </row>
    <row r="73" spans="1:11">
      <c r="A73" s="256">
        <v>3.2</v>
      </c>
      <c r="B73" s="258" t="s">
        <v>132</v>
      </c>
      <c r="C73" s="172"/>
      <c r="D73" s="142"/>
      <c r="E73" s="142"/>
      <c r="F73" s="142"/>
      <c r="G73" s="142"/>
      <c r="H73" s="142"/>
      <c r="I73" s="172"/>
      <c r="J73" s="230"/>
      <c r="K73" s="173"/>
    </row>
    <row r="74" spans="1:11">
      <c r="A74" s="256"/>
      <c r="B74" s="148"/>
      <c r="C74" s="172"/>
      <c r="D74" s="142"/>
      <c r="E74" s="142"/>
      <c r="F74" s="142"/>
      <c r="G74" s="142"/>
      <c r="H74" s="142"/>
      <c r="I74" s="172"/>
      <c r="J74" s="230"/>
      <c r="K74" s="173"/>
    </row>
    <row r="75" spans="1:11" ht="15.75">
      <c r="A75" s="171">
        <v>3.21</v>
      </c>
      <c r="B75" s="144" t="s">
        <v>156</v>
      </c>
      <c r="C75" s="172" t="s">
        <v>33</v>
      </c>
      <c r="D75" s="142"/>
      <c r="E75" s="142"/>
      <c r="F75" s="142"/>
      <c r="G75" s="142"/>
      <c r="H75" s="142"/>
      <c r="I75" s="210">
        <f>I71*2</f>
        <v>46.08</v>
      </c>
      <c r="J75" s="230"/>
      <c r="K75" s="173">
        <f>I75*J75</f>
        <v>0</v>
      </c>
    </row>
    <row r="76" spans="1:11" s="181" customFormat="1">
      <c r="A76" s="246"/>
      <c r="B76" s="149"/>
      <c r="C76" s="172"/>
      <c r="D76" s="142"/>
      <c r="E76" s="142"/>
      <c r="F76" s="142"/>
      <c r="G76" s="142"/>
      <c r="H76" s="142"/>
      <c r="I76" s="172"/>
      <c r="J76" s="230"/>
      <c r="K76" s="173"/>
    </row>
    <row r="77" spans="1:11" s="181" customFormat="1">
      <c r="A77" s="420" t="s">
        <v>84</v>
      </c>
      <c r="B77" s="421"/>
      <c r="C77" s="421"/>
      <c r="D77" s="421"/>
      <c r="E77" s="421"/>
      <c r="F77" s="421"/>
      <c r="G77" s="421"/>
      <c r="H77" s="421"/>
      <c r="I77" s="421"/>
      <c r="J77" s="422"/>
      <c r="K77" s="254">
        <f>SUM(K65:K76)</f>
        <v>0</v>
      </c>
    </row>
    <row r="78" spans="1:11" s="181" customFormat="1">
      <c r="A78" s="246"/>
      <c r="B78" s="149"/>
      <c r="C78" s="264"/>
      <c r="D78" s="178"/>
      <c r="E78" s="178"/>
      <c r="F78" s="178"/>
      <c r="G78" s="178"/>
      <c r="H78" s="178"/>
      <c r="I78" s="264"/>
      <c r="J78" s="265"/>
      <c r="K78" s="266"/>
    </row>
    <row r="79" spans="1:11">
      <c r="A79" s="256">
        <v>4</v>
      </c>
      <c r="B79" s="258" t="s">
        <v>12</v>
      </c>
      <c r="C79" s="264"/>
      <c r="D79" s="309"/>
      <c r="E79" s="309"/>
      <c r="F79" s="309"/>
      <c r="G79" s="309"/>
      <c r="H79" s="263"/>
      <c r="I79" s="310"/>
      <c r="J79" s="310"/>
      <c r="K79" s="266"/>
    </row>
    <row r="80" spans="1:11">
      <c r="A80" s="256"/>
      <c r="B80" s="144"/>
      <c r="C80" s="172"/>
      <c r="D80" s="142"/>
      <c r="E80" s="142"/>
      <c r="F80" s="142"/>
      <c r="G80" s="142"/>
      <c r="H80" s="144"/>
      <c r="I80" s="172"/>
      <c r="J80" s="150"/>
      <c r="K80" s="173"/>
    </row>
    <row r="81" spans="1:11">
      <c r="A81" s="256">
        <v>4.0999999999999996</v>
      </c>
      <c r="B81" s="258" t="s">
        <v>68</v>
      </c>
      <c r="C81" s="172"/>
      <c r="D81" s="142"/>
      <c r="E81" s="142"/>
      <c r="F81" s="142"/>
      <c r="G81" s="142"/>
      <c r="H81" s="144"/>
      <c r="I81" s="172"/>
      <c r="J81" s="150"/>
      <c r="K81" s="173"/>
    </row>
    <row r="82" spans="1:11">
      <c r="A82" s="256"/>
      <c r="B82" s="144"/>
      <c r="C82" s="172"/>
      <c r="D82" s="142"/>
      <c r="E82" s="142"/>
      <c r="F82" s="142"/>
      <c r="G82" s="142"/>
      <c r="H82" s="144"/>
      <c r="I82" s="172"/>
      <c r="J82" s="150"/>
      <c r="K82" s="173"/>
    </row>
    <row r="83" spans="1:11" ht="38.25">
      <c r="A83" s="256"/>
      <c r="B83" s="144" t="s">
        <v>230</v>
      </c>
      <c r="C83" s="172"/>
      <c r="D83" s="142"/>
      <c r="E83" s="142"/>
      <c r="F83" s="142"/>
      <c r="G83" s="142"/>
      <c r="H83" s="144"/>
      <c r="I83" s="172"/>
      <c r="J83" s="150"/>
      <c r="K83" s="173"/>
    </row>
    <row r="84" spans="1:11">
      <c r="A84" s="256"/>
      <c r="B84" s="144"/>
      <c r="C84" s="172"/>
      <c r="D84" s="142"/>
      <c r="E84" s="142"/>
      <c r="F84" s="142"/>
      <c r="G84" s="142"/>
      <c r="H84" s="144"/>
      <c r="I84" s="172"/>
      <c r="J84" s="150"/>
      <c r="K84" s="173"/>
    </row>
    <row r="85" spans="1:11">
      <c r="A85" s="171">
        <v>4.1100000000000003</v>
      </c>
      <c r="B85" s="144" t="s">
        <v>342</v>
      </c>
      <c r="C85" s="172" t="s">
        <v>3</v>
      </c>
      <c r="D85" s="142">
        <v>8.3000000000000007</v>
      </c>
      <c r="E85" s="142">
        <v>2</v>
      </c>
      <c r="F85" s="142"/>
      <c r="G85" s="263"/>
      <c r="H85" s="144"/>
      <c r="I85" s="172">
        <f>2*(D85+E85)</f>
        <v>20.6</v>
      </c>
      <c r="J85" s="230"/>
      <c r="K85" s="173">
        <f>I85*J85</f>
        <v>0</v>
      </c>
    </row>
    <row r="86" spans="1:11">
      <c r="A86" s="256"/>
      <c r="B86" s="144"/>
      <c r="C86" s="172"/>
      <c r="D86" s="142"/>
      <c r="E86" s="142"/>
      <c r="F86" s="142"/>
      <c r="G86" s="144"/>
      <c r="H86" s="144"/>
      <c r="I86" s="172"/>
      <c r="J86" s="230"/>
      <c r="K86" s="173"/>
    </row>
    <row r="87" spans="1:11">
      <c r="A87" s="171">
        <v>4.12</v>
      </c>
      <c r="B87" s="144" t="s">
        <v>341</v>
      </c>
      <c r="C87" s="172" t="s">
        <v>3</v>
      </c>
      <c r="D87" s="142">
        <v>1.1000000000000001</v>
      </c>
      <c r="E87" s="142">
        <v>11</v>
      </c>
      <c r="F87" s="142"/>
      <c r="G87" s="144"/>
      <c r="H87" s="144"/>
      <c r="I87" s="172">
        <f>D87*E87*2</f>
        <v>24.200000000000003</v>
      </c>
      <c r="J87" s="230"/>
      <c r="K87" s="173">
        <f>I87*J87</f>
        <v>0</v>
      </c>
    </row>
    <row r="88" spans="1:11">
      <c r="A88" s="171"/>
      <c r="B88" s="144"/>
      <c r="C88" s="172"/>
      <c r="D88" s="142"/>
      <c r="E88" s="142"/>
      <c r="F88" s="142"/>
      <c r="G88" s="144"/>
      <c r="H88" s="144"/>
      <c r="I88" s="172"/>
      <c r="J88" s="230"/>
      <c r="K88" s="173"/>
    </row>
    <row r="89" spans="1:11">
      <c r="A89" s="171">
        <v>4.13</v>
      </c>
      <c r="B89" s="144" t="s">
        <v>343</v>
      </c>
      <c r="C89" s="172" t="s">
        <v>3</v>
      </c>
      <c r="D89" s="271">
        <v>8.5</v>
      </c>
      <c r="E89" s="271">
        <v>12</v>
      </c>
      <c r="F89" s="271"/>
      <c r="G89" s="144"/>
      <c r="H89" s="144"/>
      <c r="I89" s="145">
        <f>D89*E89*2</f>
        <v>204</v>
      </c>
      <c r="J89" s="230"/>
      <c r="K89" s="173">
        <f>I89*J89</f>
        <v>0</v>
      </c>
    </row>
    <row r="90" spans="1:11">
      <c r="A90" s="171"/>
      <c r="B90" s="144"/>
      <c r="C90" s="172"/>
      <c r="D90" s="229"/>
      <c r="E90" s="229"/>
      <c r="F90" s="229"/>
      <c r="G90" s="229"/>
      <c r="H90" s="144"/>
      <c r="I90" s="145"/>
      <c r="J90" s="230"/>
      <c r="K90" s="173"/>
    </row>
    <row r="91" spans="1:11">
      <c r="A91" s="171">
        <v>4.1399999999999997</v>
      </c>
      <c r="B91" s="144" t="s">
        <v>231</v>
      </c>
      <c r="C91" s="172" t="s">
        <v>3</v>
      </c>
      <c r="D91" s="271">
        <v>13.5</v>
      </c>
      <c r="E91" s="229">
        <v>1.7</v>
      </c>
      <c r="F91" s="229">
        <v>7</v>
      </c>
      <c r="G91" s="229"/>
      <c r="H91" s="144"/>
      <c r="I91" s="145">
        <f>((D91+E91)*F91*2)</f>
        <v>212.79999999999998</v>
      </c>
      <c r="J91" s="230"/>
      <c r="K91" s="173">
        <f>I91*J91</f>
        <v>0</v>
      </c>
    </row>
    <row r="92" spans="1:11">
      <c r="A92" s="171"/>
      <c r="B92" s="144"/>
      <c r="C92" s="172"/>
      <c r="D92" s="271"/>
      <c r="E92" s="229"/>
      <c r="F92" s="229"/>
      <c r="G92" s="229"/>
      <c r="H92" s="144"/>
      <c r="I92" s="145"/>
      <c r="J92" s="230"/>
      <c r="K92" s="173"/>
    </row>
    <row r="93" spans="1:11" ht="25.5">
      <c r="A93" s="171">
        <v>4.1500000000000004</v>
      </c>
      <c r="B93" s="144" t="s">
        <v>310</v>
      </c>
      <c r="C93" s="172"/>
      <c r="D93" s="271"/>
      <c r="E93" s="229"/>
      <c r="F93" s="229"/>
      <c r="G93" s="229"/>
      <c r="H93" s="144"/>
      <c r="I93" s="145">
        <v>15</v>
      </c>
      <c r="J93" s="230"/>
      <c r="K93" s="173">
        <f>I93*J93</f>
        <v>0</v>
      </c>
    </row>
    <row r="94" spans="1:11">
      <c r="A94" s="171"/>
      <c r="B94" s="144"/>
      <c r="C94" s="172"/>
      <c r="D94" s="271"/>
      <c r="E94" s="229"/>
      <c r="F94" s="229"/>
      <c r="G94" s="229"/>
      <c r="H94" s="144"/>
      <c r="I94" s="145"/>
      <c r="J94" s="230"/>
      <c r="K94" s="173"/>
    </row>
    <row r="95" spans="1:11" ht="51">
      <c r="A95" s="171">
        <v>4.16</v>
      </c>
      <c r="B95" s="144" t="s">
        <v>378</v>
      </c>
      <c r="C95" s="172" t="s">
        <v>3</v>
      </c>
      <c r="D95" s="229"/>
      <c r="E95" s="229"/>
      <c r="F95" s="229"/>
      <c r="G95" s="229"/>
      <c r="H95" s="144"/>
      <c r="I95" s="145">
        <f>I89</f>
        <v>204</v>
      </c>
      <c r="J95" s="230"/>
      <c r="K95" s="173">
        <f>I95*J95</f>
        <v>0</v>
      </c>
    </row>
    <row r="96" spans="1:11">
      <c r="A96" s="171"/>
      <c r="B96" s="144"/>
      <c r="C96" s="172"/>
      <c r="D96" s="229"/>
      <c r="E96" s="229"/>
      <c r="F96" s="229"/>
      <c r="G96" s="229"/>
      <c r="H96" s="144"/>
      <c r="I96" s="145"/>
      <c r="J96" s="230"/>
      <c r="K96" s="173"/>
    </row>
    <row r="97" spans="1:11" ht="51">
      <c r="A97" s="171">
        <v>4.17</v>
      </c>
      <c r="B97" s="144" t="s">
        <v>377</v>
      </c>
      <c r="C97" s="172" t="s">
        <v>3</v>
      </c>
      <c r="D97" s="229"/>
      <c r="E97" s="229"/>
      <c r="F97" s="229"/>
      <c r="G97" s="229"/>
      <c r="H97" s="144"/>
      <c r="I97" s="145">
        <f>I91</f>
        <v>212.79999999999998</v>
      </c>
      <c r="J97" s="230"/>
      <c r="K97" s="173">
        <f>I97*J97</f>
        <v>0</v>
      </c>
    </row>
    <row r="98" spans="1:11">
      <c r="A98" s="171"/>
      <c r="B98" s="144"/>
      <c r="C98" s="172"/>
      <c r="D98" s="229"/>
      <c r="E98" s="229"/>
      <c r="F98" s="229"/>
      <c r="G98" s="229"/>
      <c r="H98" s="144"/>
      <c r="I98" s="145"/>
      <c r="J98" s="230"/>
      <c r="K98" s="173"/>
    </row>
    <row r="99" spans="1:11" ht="29.25" customHeight="1">
      <c r="A99" s="171">
        <v>4.18</v>
      </c>
      <c r="B99" s="144" t="s">
        <v>304</v>
      </c>
      <c r="C99" s="172" t="s">
        <v>232</v>
      </c>
      <c r="D99" s="271">
        <v>7</v>
      </c>
      <c r="E99" s="229"/>
      <c r="F99" s="229"/>
      <c r="G99" s="229"/>
      <c r="H99" s="144"/>
      <c r="I99" s="145">
        <f>D99*2</f>
        <v>14</v>
      </c>
      <c r="J99" s="230"/>
      <c r="K99" s="173">
        <f>I99*J99</f>
        <v>0</v>
      </c>
    </row>
    <row r="100" spans="1:11">
      <c r="A100" s="256"/>
      <c r="B100" s="144"/>
      <c r="C100" s="172"/>
      <c r="D100" s="229"/>
      <c r="E100" s="229"/>
      <c r="F100" s="229"/>
      <c r="G100" s="229"/>
      <c r="H100" s="144"/>
      <c r="I100" s="145"/>
      <c r="J100" s="230"/>
      <c r="K100" s="173"/>
    </row>
    <row r="101" spans="1:11">
      <c r="A101" s="256">
        <v>4.2</v>
      </c>
      <c r="B101" s="272" t="s">
        <v>69</v>
      </c>
      <c r="C101" s="172"/>
      <c r="D101" s="142"/>
      <c r="E101" s="142"/>
      <c r="F101" s="142"/>
      <c r="G101" s="142"/>
      <c r="H101" s="144"/>
      <c r="I101" s="172"/>
      <c r="J101" s="230"/>
      <c r="K101" s="173"/>
    </row>
    <row r="102" spans="1:11">
      <c r="A102" s="256"/>
      <c r="B102" s="144"/>
      <c r="C102" s="172"/>
      <c r="D102" s="142"/>
      <c r="E102" s="142"/>
      <c r="F102" s="142"/>
      <c r="G102" s="142"/>
      <c r="H102" s="144"/>
      <c r="I102" s="172"/>
      <c r="J102" s="230"/>
      <c r="K102" s="173"/>
    </row>
    <row r="103" spans="1:11">
      <c r="A103" s="171">
        <v>4.21</v>
      </c>
      <c r="B103" s="144" t="s">
        <v>367</v>
      </c>
      <c r="C103" s="172" t="s">
        <v>9</v>
      </c>
      <c r="D103" s="144"/>
      <c r="E103" s="144"/>
      <c r="F103" s="144"/>
      <c r="G103" s="144"/>
      <c r="H103" s="144"/>
      <c r="I103" s="145">
        <v>2</v>
      </c>
      <c r="J103" s="230"/>
      <c r="K103" s="173">
        <f>I103*J103</f>
        <v>0</v>
      </c>
    </row>
    <row r="104" spans="1:11">
      <c r="A104" s="197"/>
      <c r="B104" s="144"/>
      <c r="C104" s="172"/>
      <c r="D104" s="144"/>
      <c r="E104" s="144"/>
      <c r="F104" s="144"/>
      <c r="G104" s="144"/>
      <c r="H104" s="144"/>
      <c r="I104" s="145"/>
      <c r="J104" s="230"/>
      <c r="K104" s="173"/>
    </row>
    <row r="105" spans="1:11">
      <c r="A105" s="171">
        <v>4.22</v>
      </c>
      <c r="B105" s="144" t="s">
        <v>348</v>
      </c>
      <c r="C105" s="172" t="s">
        <v>9</v>
      </c>
      <c r="D105" s="144"/>
      <c r="E105" s="144"/>
      <c r="F105" s="144"/>
      <c r="G105" s="144"/>
      <c r="H105" s="144"/>
      <c r="I105" s="145">
        <v>2</v>
      </c>
      <c r="J105" s="230"/>
      <c r="K105" s="173">
        <f>I105*J105</f>
        <v>0</v>
      </c>
    </row>
    <row r="106" spans="1:11">
      <c r="A106" s="171"/>
      <c r="B106" s="144"/>
      <c r="C106" s="172"/>
      <c r="D106" s="144"/>
      <c r="E106" s="144"/>
      <c r="F106" s="144"/>
      <c r="G106" s="144"/>
      <c r="H106" s="144"/>
      <c r="I106" s="145"/>
      <c r="J106" s="230"/>
      <c r="K106" s="173"/>
    </row>
    <row r="107" spans="1:11" ht="25.5">
      <c r="A107" s="171">
        <v>4.2300000000000004</v>
      </c>
      <c r="B107" s="144" t="s">
        <v>376</v>
      </c>
      <c r="C107" s="172" t="s">
        <v>9</v>
      </c>
      <c r="D107" s="144"/>
      <c r="E107" s="144"/>
      <c r="F107" s="144"/>
      <c r="G107" s="144"/>
      <c r="H107" s="144"/>
      <c r="I107" s="145">
        <v>1</v>
      </c>
      <c r="J107" s="230"/>
      <c r="K107" s="173">
        <f>I107*J107</f>
        <v>0</v>
      </c>
    </row>
    <row r="108" spans="1:11">
      <c r="A108" s="171"/>
      <c r="B108" s="144"/>
      <c r="C108" s="172"/>
      <c r="D108" s="144"/>
      <c r="E108" s="144"/>
      <c r="F108" s="144"/>
      <c r="G108" s="144"/>
      <c r="H108" s="144"/>
      <c r="I108" s="145"/>
      <c r="J108" s="230"/>
      <c r="K108" s="173"/>
    </row>
    <row r="109" spans="1:11">
      <c r="A109" s="171">
        <v>4.24</v>
      </c>
      <c r="B109" s="144" t="s">
        <v>370</v>
      </c>
      <c r="C109" s="172"/>
      <c r="D109" s="144"/>
      <c r="E109" s="144"/>
      <c r="F109" s="144"/>
      <c r="G109" s="144"/>
      <c r="H109" s="144"/>
      <c r="I109" s="145">
        <v>2</v>
      </c>
      <c r="J109" s="230"/>
      <c r="K109" s="173">
        <f>I109*J109</f>
        <v>0</v>
      </c>
    </row>
    <row r="110" spans="1:11">
      <c r="A110" s="171"/>
      <c r="B110" s="144"/>
      <c r="C110" s="172"/>
      <c r="D110" s="144"/>
      <c r="E110" s="144"/>
      <c r="F110" s="144"/>
      <c r="G110" s="144"/>
      <c r="H110" s="144"/>
      <c r="I110" s="145"/>
      <c r="J110" s="230"/>
      <c r="K110" s="173"/>
    </row>
    <row r="111" spans="1:11">
      <c r="A111" s="171">
        <v>4.25</v>
      </c>
      <c r="B111" s="144" t="s">
        <v>368</v>
      </c>
      <c r="C111" s="172" t="s">
        <v>9</v>
      </c>
      <c r="D111" s="144"/>
      <c r="E111" s="144"/>
      <c r="F111" s="144"/>
      <c r="G111" s="144"/>
      <c r="H111" s="144"/>
      <c r="I111" s="145">
        <v>2</v>
      </c>
      <c r="J111" s="230"/>
      <c r="K111" s="173">
        <f>I111*J111</f>
        <v>0</v>
      </c>
    </row>
    <row r="112" spans="1:11">
      <c r="A112" s="171"/>
      <c r="B112" s="144"/>
      <c r="C112" s="172"/>
      <c r="D112" s="144"/>
      <c r="E112" s="144"/>
      <c r="F112" s="144"/>
      <c r="G112" s="144"/>
      <c r="H112" s="144"/>
      <c r="I112" s="145"/>
      <c r="J112" s="230"/>
      <c r="K112" s="173"/>
    </row>
    <row r="113" spans="1:11">
      <c r="A113" s="171">
        <v>4.26</v>
      </c>
      <c r="B113" s="144" t="s">
        <v>371</v>
      </c>
      <c r="C113" s="172" t="s">
        <v>9</v>
      </c>
      <c r="D113" s="144"/>
      <c r="E113" s="144"/>
      <c r="F113" s="144"/>
      <c r="G113" s="144"/>
      <c r="H113" s="144"/>
      <c r="I113" s="145">
        <v>4</v>
      </c>
      <c r="J113" s="230"/>
      <c r="K113" s="173"/>
    </row>
    <row r="114" spans="1:11">
      <c r="A114" s="171"/>
      <c r="B114" s="144"/>
      <c r="C114" s="172"/>
      <c r="D114" s="144"/>
      <c r="E114" s="144"/>
      <c r="F114" s="144"/>
      <c r="G114" s="144"/>
      <c r="H114" s="144"/>
      <c r="I114" s="145"/>
      <c r="J114" s="230"/>
      <c r="K114" s="173"/>
    </row>
    <row r="115" spans="1:11">
      <c r="A115" s="171">
        <v>4.2699999999999996</v>
      </c>
      <c r="B115" s="144" t="s">
        <v>369</v>
      </c>
      <c r="C115" s="172" t="s">
        <v>9</v>
      </c>
      <c r="D115" s="144"/>
      <c r="E115" s="144"/>
      <c r="F115" s="144"/>
      <c r="G115" s="144"/>
      <c r="H115" s="144"/>
      <c r="I115" s="145">
        <v>24</v>
      </c>
      <c r="J115" s="230"/>
      <c r="K115" s="173">
        <f t="shared" ref="K115:K119" si="0">I115*J115</f>
        <v>0</v>
      </c>
    </row>
    <row r="116" spans="1:11">
      <c r="A116" s="171"/>
      <c r="B116" s="144"/>
      <c r="C116" s="172"/>
      <c r="D116" s="144"/>
      <c r="E116" s="144"/>
      <c r="F116" s="144"/>
      <c r="G116" s="144"/>
      <c r="H116" s="144"/>
      <c r="I116" s="145"/>
      <c r="J116" s="230"/>
      <c r="K116" s="173"/>
    </row>
    <row r="117" spans="1:11" ht="25.5">
      <c r="A117" s="171">
        <v>4.28</v>
      </c>
      <c r="B117" s="144" t="s">
        <v>372</v>
      </c>
      <c r="C117" s="172" t="s">
        <v>9</v>
      </c>
      <c r="D117" s="144"/>
      <c r="E117" s="144"/>
      <c r="F117" s="144"/>
      <c r="G117" s="144"/>
      <c r="H117" s="144"/>
      <c r="I117" s="145">
        <v>4</v>
      </c>
      <c r="J117" s="230"/>
      <c r="K117" s="173">
        <f t="shared" si="0"/>
        <v>0</v>
      </c>
    </row>
    <row r="118" spans="1:11">
      <c r="A118" s="171"/>
      <c r="B118" s="144"/>
      <c r="C118" s="172"/>
      <c r="D118" s="144"/>
      <c r="E118" s="144"/>
      <c r="F118" s="144"/>
      <c r="G118" s="144"/>
      <c r="H118" s="144"/>
      <c r="I118" s="145"/>
      <c r="J118" s="230"/>
      <c r="K118" s="173"/>
    </row>
    <row r="119" spans="1:11">
      <c r="A119" s="171">
        <v>4.29</v>
      </c>
      <c r="B119" s="144" t="s">
        <v>344</v>
      </c>
      <c r="C119" s="172" t="s">
        <v>9</v>
      </c>
      <c r="D119" s="144"/>
      <c r="E119" s="144"/>
      <c r="F119" s="144"/>
      <c r="G119" s="144"/>
      <c r="H119" s="144"/>
      <c r="I119" s="145">
        <v>24</v>
      </c>
      <c r="J119" s="230"/>
      <c r="K119" s="173">
        <f t="shared" si="0"/>
        <v>0</v>
      </c>
    </row>
    <row r="120" spans="1:11">
      <c r="A120" s="171"/>
      <c r="B120" s="144"/>
      <c r="C120" s="172"/>
      <c r="D120" s="144"/>
      <c r="E120" s="144"/>
      <c r="F120" s="144"/>
      <c r="G120" s="144"/>
      <c r="H120" s="144"/>
      <c r="I120" s="145"/>
      <c r="J120" s="230"/>
      <c r="K120" s="173"/>
    </row>
    <row r="121" spans="1:11">
      <c r="A121" s="256">
        <v>4.3</v>
      </c>
      <c r="B121" s="258" t="s">
        <v>70</v>
      </c>
      <c r="C121" s="172"/>
      <c r="D121" s="229"/>
      <c r="E121" s="229"/>
      <c r="F121" s="229"/>
      <c r="G121" s="229"/>
      <c r="H121" s="144"/>
      <c r="I121" s="145"/>
      <c r="J121" s="230"/>
      <c r="K121" s="173"/>
    </row>
    <row r="122" spans="1:11">
      <c r="A122" s="171"/>
      <c r="B122" s="275"/>
      <c r="C122" s="172"/>
      <c r="D122" s="229"/>
      <c r="E122" s="229"/>
      <c r="F122" s="229"/>
      <c r="G122" s="229"/>
      <c r="H122" s="144"/>
      <c r="I122" s="145"/>
      <c r="J122" s="230"/>
      <c r="K122" s="173"/>
    </row>
    <row r="123" spans="1:11" ht="63.75">
      <c r="A123" s="171"/>
      <c r="B123" s="144" t="s">
        <v>158</v>
      </c>
      <c r="C123" s="172"/>
      <c r="D123" s="229"/>
      <c r="E123" s="229"/>
      <c r="F123" s="229"/>
      <c r="G123" s="229"/>
      <c r="H123" s="144"/>
      <c r="I123" s="145"/>
      <c r="J123" s="230"/>
      <c r="K123" s="173"/>
    </row>
    <row r="124" spans="1:11">
      <c r="A124" s="171"/>
      <c r="B124" s="144"/>
      <c r="C124" s="172"/>
      <c r="D124" s="229"/>
      <c r="E124" s="229"/>
      <c r="F124" s="229"/>
      <c r="G124" s="229"/>
      <c r="H124" s="144"/>
      <c r="I124" s="145"/>
      <c r="J124" s="230"/>
      <c r="K124" s="173"/>
    </row>
    <row r="125" spans="1:11">
      <c r="A125" s="171"/>
      <c r="B125" s="144" t="s">
        <v>113</v>
      </c>
      <c r="C125" s="172"/>
      <c r="D125" s="229"/>
      <c r="E125" s="229"/>
      <c r="F125" s="229"/>
      <c r="G125" s="229"/>
      <c r="H125" s="144"/>
      <c r="I125" s="145"/>
      <c r="J125" s="230"/>
      <c r="K125" s="173"/>
    </row>
    <row r="126" spans="1:11">
      <c r="A126" s="171"/>
      <c r="B126" s="144"/>
      <c r="C126" s="172"/>
      <c r="D126" s="229"/>
      <c r="E126" s="229"/>
      <c r="F126" s="229"/>
      <c r="G126" s="229"/>
      <c r="H126" s="144"/>
      <c r="I126" s="145"/>
      <c r="J126" s="230"/>
      <c r="K126" s="173"/>
    </row>
    <row r="127" spans="1:11" ht="25.5">
      <c r="A127" s="171">
        <v>4.3099999999999996</v>
      </c>
      <c r="B127" s="144" t="s">
        <v>233</v>
      </c>
      <c r="C127" s="172" t="s">
        <v>3</v>
      </c>
      <c r="D127" s="229"/>
      <c r="E127" s="229"/>
      <c r="F127" s="229"/>
      <c r="G127" s="229"/>
      <c r="H127" s="144"/>
      <c r="I127" s="145">
        <f>I93</f>
        <v>15</v>
      </c>
      <c r="J127" s="230"/>
      <c r="K127" s="173">
        <f>I127*J127</f>
        <v>0</v>
      </c>
    </row>
    <row r="128" spans="1:11">
      <c r="A128" s="171"/>
      <c r="B128" s="144"/>
      <c r="C128" s="172"/>
      <c r="D128" s="229"/>
      <c r="E128" s="229"/>
      <c r="F128" s="229"/>
      <c r="G128" s="229"/>
      <c r="H128" s="144"/>
      <c r="I128" s="145"/>
      <c r="J128" s="150"/>
      <c r="K128" s="173"/>
    </row>
    <row r="129" spans="1:11" s="255" customFormat="1" ht="15">
      <c r="A129" s="420" t="s">
        <v>85</v>
      </c>
      <c r="B129" s="421"/>
      <c r="C129" s="421"/>
      <c r="D129" s="421"/>
      <c r="E129" s="421"/>
      <c r="F129" s="421"/>
      <c r="G129" s="421"/>
      <c r="H129" s="421"/>
      <c r="I129" s="421"/>
      <c r="J129" s="422"/>
      <c r="K129" s="254">
        <f>SUM(K78:K128)</f>
        <v>0</v>
      </c>
    </row>
    <row r="130" spans="1:11">
      <c r="A130" s="256"/>
      <c r="B130" s="257"/>
      <c r="C130" s="172"/>
      <c r="D130" s="142"/>
      <c r="E130" s="142"/>
      <c r="F130" s="142"/>
      <c r="G130" s="142"/>
      <c r="H130" s="142"/>
      <c r="I130" s="172"/>
      <c r="J130" s="150"/>
      <c r="K130" s="173"/>
    </row>
    <row r="131" spans="1:11">
      <c r="A131" s="256">
        <v>5</v>
      </c>
      <c r="B131" s="258" t="s">
        <v>136</v>
      </c>
      <c r="C131" s="172"/>
      <c r="D131" s="142"/>
      <c r="E131" s="142"/>
      <c r="F131" s="142"/>
      <c r="G131" s="142"/>
      <c r="H131" s="144"/>
      <c r="I131" s="172"/>
      <c r="J131" s="150"/>
      <c r="K131" s="173"/>
    </row>
    <row r="132" spans="1:11">
      <c r="A132" s="256"/>
      <c r="B132" s="144"/>
      <c r="C132" s="172"/>
      <c r="D132" s="142"/>
      <c r="E132" s="142"/>
      <c r="F132" s="142"/>
      <c r="G132" s="142"/>
      <c r="H132" s="144"/>
      <c r="I132" s="172"/>
      <c r="J132" s="150"/>
      <c r="K132" s="173"/>
    </row>
    <row r="133" spans="1:11">
      <c r="A133" s="256">
        <v>5.0999999999999996</v>
      </c>
      <c r="B133" s="258" t="s">
        <v>137</v>
      </c>
      <c r="C133" s="172"/>
      <c r="D133" s="142"/>
      <c r="E133" s="142"/>
      <c r="F133" s="142"/>
      <c r="G133" s="142"/>
      <c r="H133" s="144"/>
      <c r="I133" s="172"/>
      <c r="J133" s="150"/>
      <c r="K133" s="173"/>
    </row>
    <row r="134" spans="1:11">
      <c r="A134" s="256"/>
      <c r="B134" s="144"/>
      <c r="C134" s="172"/>
      <c r="D134" s="142"/>
      <c r="E134" s="142"/>
      <c r="F134" s="142"/>
      <c r="G134" s="142"/>
      <c r="H134" s="144"/>
      <c r="I134" s="172"/>
      <c r="J134" s="150"/>
      <c r="K134" s="173"/>
    </row>
    <row r="135" spans="1:11" ht="38.25">
      <c r="A135" s="171">
        <v>5.1100000000000003</v>
      </c>
      <c r="B135" s="144" t="s">
        <v>257</v>
      </c>
      <c r="C135" s="172" t="s">
        <v>33</v>
      </c>
      <c r="D135" s="142">
        <v>10.8</v>
      </c>
      <c r="E135" s="142">
        <v>15</v>
      </c>
      <c r="F135" s="142"/>
      <c r="G135" s="142"/>
      <c r="H135" s="144"/>
      <c r="I135" s="212">
        <f>2*(D135*E135)</f>
        <v>324</v>
      </c>
      <c r="J135" s="230"/>
      <c r="K135" s="173">
        <f>I135*J135</f>
        <v>0</v>
      </c>
    </row>
    <row r="136" spans="1:11">
      <c r="A136" s="171"/>
      <c r="B136" s="144"/>
      <c r="C136" s="172"/>
      <c r="D136" s="142"/>
      <c r="E136" s="142"/>
      <c r="F136" s="142"/>
      <c r="G136" s="142"/>
      <c r="H136" s="144"/>
      <c r="I136" s="172"/>
      <c r="J136" s="230"/>
      <c r="K136" s="173"/>
    </row>
    <row r="137" spans="1:11">
      <c r="A137" s="256">
        <v>5.2</v>
      </c>
      <c r="B137" s="258" t="s">
        <v>139</v>
      </c>
      <c r="C137" s="172"/>
      <c r="D137" s="142"/>
      <c r="E137" s="142"/>
      <c r="F137" s="142"/>
      <c r="G137" s="142"/>
      <c r="H137" s="183"/>
      <c r="I137" s="172"/>
      <c r="J137" s="230"/>
      <c r="K137" s="173"/>
    </row>
    <row r="138" spans="1:11">
      <c r="A138" s="171"/>
      <c r="B138" s="144"/>
      <c r="C138" s="172"/>
      <c r="D138" s="142"/>
      <c r="E138" s="142"/>
      <c r="F138" s="142"/>
      <c r="G138" s="142"/>
      <c r="H138" s="183"/>
      <c r="I138" s="172"/>
      <c r="J138" s="230"/>
      <c r="K138" s="173"/>
    </row>
    <row r="139" spans="1:11" ht="25.5">
      <c r="A139" s="171">
        <v>5.21</v>
      </c>
      <c r="B139" s="144" t="s">
        <v>240</v>
      </c>
      <c r="C139" s="172" t="s">
        <v>30</v>
      </c>
      <c r="D139" s="142">
        <v>12.1</v>
      </c>
      <c r="E139" s="142">
        <v>7.9</v>
      </c>
      <c r="F139" s="142">
        <v>0.1</v>
      </c>
      <c r="G139" s="142"/>
      <c r="H139" s="144"/>
      <c r="I139" s="210">
        <f>D139*E139*F139*2</f>
        <v>19.118000000000002</v>
      </c>
      <c r="J139" s="230"/>
      <c r="K139" s="173">
        <f>I139*J139</f>
        <v>0</v>
      </c>
    </row>
    <row r="140" spans="1:11" ht="16.5" customHeight="1">
      <c r="A140" s="171"/>
      <c r="B140" s="144"/>
      <c r="C140" s="172"/>
      <c r="D140" s="142"/>
      <c r="E140" s="142"/>
      <c r="F140" s="142"/>
      <c r="G140" s="142"/>
      <c r="H140" s="144"/>
      <c r="I140" s="172"/>
      <c r="J140" s="230"/>
      <c r="K140" s="173"/>
    </row>
    <row r="141" spans="1:11" ht="38.25">
      <c r="A141" s="171">
        <v>5.22</v>
      </c>
      <c r="B141" s="144" t="s">
        <v>311</v>
      </c>
      <c r="C141" s="172" t="s">
        <v>30</v>
      </c>
      <c r="D141" s="142">
        <v>13</v>
      </c>
      <c r="E141" s="142">
        <v>8.8000000000000007</v>
      </c>
      <c r="F141" s="142">
        <v>0.2</v>
      </c>
      <c r="G141" s="142"/>
      <c r="H141" s="144"/>
      <c r="I141" s="210">
        <f>D141*E141*F141*2</f>
        <v>45.760000000000005</v>
      </c>
      <c r="J141" s="230"/>
      <c r="K141" s="173">
        <f>I141*J141</f>
        <v>0</v>
      </c>
    </row>
    <row r="142" spans="1:11">
      <c r="A142" s="171"/>
      <c r="B142" s="144"/>
      <c r="C142" s="172"/>
      <c r="D142" s="142"/>
      <c r="E142" s="142"/>
      <c r="F142" s="142"/>
      <c r="G142" s="142"/>
      <c r="H142" s="144"/>
      <c r="I142" s="172"/>
      <c r="J142" s="150"/>
      <c r="K142" s="173"/>
    </row>
    <row r="143" spans="1:11" ht="78.75" customHeight="1">
      <c r="A143" s="171">
        <v>5.23</v>
      </c>
      <c r="B143" s="144" t="s">
        <v>345</v>
      </c>
      <c r="C143" s="172" t="s">
        <v>30</v>
      </c>
      <c r="D143" s="142">
        <v>13</v>
      </c>
      <c r="E143" s="142">
        <v>8.8000000000000007</v>
      </c>
      <c r="F143" s="142">
        <v>0.45</v>
      </c>
      <c r="G143" s="142"/>
      <c r="H143" s="144"/>
      <c r="I143" s="171">
        <f>D143*E143*F143*2</f>
        <v>102.96000000000001</v>
      </c>
      <c r="J143" s="230"/>
      <c r="K143" s="173">
        <f>I143*J143</f>
        <v>0</v>
      </c>
    </row>
    <row r="144" spans="1:11">
      <c r="A144" s="256"/>
      <c r="B144" s="144"/>
      <c r="C144" s="172"/>
      <c r="D144" s="142"/>
      <c r="E144" s="142"/>
      <c r="F144" s="142"/>
      <c r="G144" s="142"/>
      <c r="H144" s="142"/>
      <c r="I144" s="142"/>
      <c r="J144" s="150"/>
      <c r="K144" s="173"/>
    </row>
    <row r="145" spans="1:11">
      <c r="A145" s="256">
        <v>5.3</v>
      </c>
      <c r="B145" s="258" t="s">
        <v>138</v>
      </c>
      <c r="C145" s="172"/>
      <c r="D145" s="142"/>
      <c r="E145" s="142"/>
      <c r="F145" s="142"/>
      <c r="G145" s="142"/>
      <c r="H145" s="144"/>
      <c r="I145" s="172"/>
      <c r="J145" s="150"/>
      <c r="K145" s="173"/>
    </row>
    <row r="146" spans="1:11">
      <c r="A146" s="171"/>
      <c r="B146" s="144"/>
      <c r="C146" s="172"/>
      <c r="D146" s="142"/>
      <c r="E146" s="142"/>
      <c r="F146" s="142"/>
      <c r="G146" s="142"/>
      <c r="H146" s="144"/>
      <c r="I146" s="172"/>
      <c r="J146" s="150"/>
      <c r="K146" s="173"/>
    </row>
    <row r="147" spans="1:11" ht="39" customHeight="1">
      <c r="A147" s="311">
        <v>5.31</v>
      </c>
      <c r="B147" s="148" t="s">
        <v>305</v>
      </c>
      <c r="C147" s="172" t="s">
        <v>180</v>
      </c>
      <c r="D147" s="142"/>
      <c r="E147" s="142"/>
      <c r="F147" s="142"/>
      <c r="G147" s="142"/>
      <c r="H147" s="144"/>
      <c r="I147" s="172" t="s">
        <v>104</v>
      </c>
      <c r="J147" s="230"/>
      <c r="K147" s="173">
        <f>J147</f>
        <v>0</v>
      </c>
    </row>
    <row r="148" spans="1:11">
      <c r="A148" s="311"/>
      <c r="B148" s="148"/>
      <c r="C148" s="172"/>
      <c r="D148" s="142"/>
      <c r="E148" s="142"/>
      <c r="F148" s="142"/>
      <c r="G148" s="142"/>
      <c r="H148" s="144"/>
      <c r="I148" s="172"/>
      <c r="J148" s="150"/>
      <c r="K148" s="173"/>
    </row>
    <row r="149" spans="1:11" s="255" customFormat="1" ht="15">
      <c r="A149" s="420" t="s">
        <v>86</v>
      </c>
      <c r="B149" s="421"/>
      <c r="C149" s="421"/>
      <c r="D149" s="421"/>
      <c r="E149" s="421"/>
      <c r="F149" s="421"/>
      <c r="G149" s="421"/>
      <c r="H149" s="421"/>
      <c r="I149" s="421"/>
      <c r="J149" s="422"/>
      <c r="K149" s="254">
        <f>SUM(K131:K147)</f>
        <v>0</v>
      </c>
    </row>
    <row r="150" spans="1:11" ht="15" customHeight="1">
      <c r="A150" s="428"/>
      <c r="B150" s="429"/>
      <c r="C150" s="429"/>
      <c r="D150" s="429"/>
      <c r="E150" s="429"/>
      <c r="F150" s="429"/>
      <c r="G150" s="429"/>
      <c r="H150" s="429"/>
      <c r="I150" s="429"/>
      <c r="J150" s="429"/>
      <c r="K150" s="430"/>
    </row>
    <row r="151" spans="1:11" ht="14.25" customHeight="1">
      <c r="A151" s="427" t="s">
        <v>88</v>
      </c>
      <c r="B151" s="427"/>
      <c r="C151" s="427"/>
      <c r="D151" s="427"/>
      <c r="E151" s="427"/>
      <c r="F151" s="427"/>
      <c r="G151" s="427"/>
      <c r="H151" s="427"/>
      <c r="I151" s="427"/>
      <c r="J151" s="427"/>
      <c r="K151" s="254">
        <f>K129+K37+K77+K63+K149</f>
        <v>0</v>
      </c>
    </row>
    <row r="152" spans="1:11" ht="58.5" customHeight="1">
      <c r="A152" s="426" t="s">
        <v>163</v>
      </c>
      <c r="B152" s="426"/>
      <c r="C152" s="426"/>
      <c r="D152" s="426"/>
      <c r="E152" s="426"/>
      <c r="F152" s="426"/>
      <c r="G152" s="426"/>
      <c r="H152" s="426"/>
      <c r="I152" s="426"/>
      <c r="J152" s="426"/>
      <c r="K152" s="426"/>
    </row>
    <row r="153" spans="1:11">
      <c r="B153" s="300"/>
    </row>
  </sheetData>
  <mergeCells count="11">
    <mergeCell ref="A1:I1"/>
    <mergeCell ref="A2:K2"/>
    <mergeCell ref="D3:H3"/>
    <mergeCell ref="A152:K152"/>
    <mergeCell ref="A151:J151"/>
    <mergeCell ref="A37:J37"/>
    <mergeCell ref="A149:J149"/>
    <mergeCell ref="A129:J129"/>
    <mergeCell ref="A63:J63"/>
    <mergeCell ref="A150:K150"/>
    <mergeCell ref="A77:J77"/>
  </mergeCells>
  <pageMargins left="0.7" right="0.7" top="0.75" bottom="0.75" header="0.3" footer="0.3"/>
  <pageSetup scale="72"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zoomScaleNormal="100" zoomScaleSheetLayoutView="100" workbookViewId="0">
      <selection sqref="A1:I1"/>
    </sheetView>
  </sheetViews>
  <sheetFormatPr defaultColWidth="9.140625" defaultRowHeight="14.25"/>
  <cols>
    <col min="1" max="1" width="9.28515625" style="18" customWidth="1"/>
    <col min="2" max="2" width="65.7109375" style="110" customWidth="1"/>
    <col min="3" max="3" width="12.140625" style="45" customWidth="1"/>
    <col min="4" max="6" width="12.140625" style="45" hidden="1" customWidth="1"/>
    <col min="7" max="7" width="13.85546875" style="45" hidden="1" customWidth="1"/>
    <col min="8" max="8" width="35.5703125" style="49" hidden="1" customWidth="1"/>
    <col min="9" max="9" width="12.140625" style="45" customWidth="1"/>
    <col min="10" max="10" width="16.85546875" style="45" customWidth="1"/>
    <col min="11" max="11" width="17.42578125" style="9" customWidth="1"/>
    <col min="12" max="16384" width="9.140625" style="7"/>
  </cols>
  <sheetData>
    <row r="1" spans="1:11" ht="48.75" customHeight="1">
      <c r="A1" s="407" t="s">
        <v>80</v>
      </c>
      <c r="B1" s="408"/>
      <c r="C1" s="408"/>
      <c r="D1" s="408"/>
      <c r="E1" s="408"/>
      <c r="F1" s="408"/>
      <c r="G1" s="408"/>
      <c r="H1" s="408"/>
      <c r="I1" s="408"/>
      <c r="J1" s="201"/>
      <c r="K1" s="91"/>
    </row>
    <row r="2" spans="1:11" ht="14.25" customHeight="1">
      <c r="A2" s="433" t="s">
        <v>384</v>
      </c>
      <c r="B2" s="433"/>
      <c r="C2" s="433"/>
      <c r="D2" s="433"/>
      <c r="E2" s="433"/>
      <c r="F2" s="433"/>
      <c r="G2" s="433"/>
      <c r="H2" s="433"/>
      <c r="I2" s="433"/>
      <c r="J2" s="433"/>
      <c r="K2" s="433"/>
    </row>
    <row r="3" spans="1:11">
      <c r="A3" s="93" t="s">
        <v>0</v>
      </c>
      <c r="B3" s="94" t="s">
        <v>1</v>
      </c>
      <c r="C3" s="69" t="s">
        <v>2</v>
      </c>
      <c r="D3" s="434" t="s">
        <v>29</v>
      </c>
      <c r="E3" s="435"/>
      <c r="F3" s="435"/>
      <c r="G3" s="435"/>
      <c r="H3" s="436"/>
      <c r="I3" s="69" t="s">
        <v>79</v>
      </c>
      <c r="J3" s="69" t="s">
        <v>4</v>
      </c>
      <c r="K3" s="94" t="s">
        <v>5</v>
      </c>
    </row>
    <row r="4" spans="1:11">
      <c r="A4" s="112"/>
      <c r="B4" s="113"/>
      <c r="C4" s="114"/>
      <c r="D4" s="186">
        <v>3</v>
      </c>
      <c r="E4" s="186">
        <v>2.5</v>
      </c>
      <c r="F4" s="186">
        <v>2.2000000000000002</v>
      </c>
      <c r="G4" s="114"/>
      <c r="H4" s="188"/>
      <c r="I4" s="114"/>
      <c r="J4" s="114"/>
      <c r="K4" s="114"/>
    </row>
    <row r="5" spans="1:11">
      <c r="A5" s="115">
        <v>1</v>
      </c>
      <c r="B5" s="2" t="s">
        <v>7</v>
      </c>
      <c r="C5" s="13"/>
      <c r="D5" s="13"/>
      <c r="E5" s="13"/>
      <c r="F5" s="13"/>
      <c r="G5" s="13"/>
      <c r="H5" s="48"/>
      <c r="I5" s="13"/>
      <c r="J5" s="10"/>
      <c r="K5" s="4"/>
    </row>
    <row r="6" spans="1:11" ht="15">
      <c r="A6" s="117"/>
      <c r="B6" s="2"/>
      <c r="C6" s="13"/>
      <c r="D6" s="13"/>
      <c r="E6" s="13"/>
      <c r="F6" s="13"/>
      <c r="G6" s="13"/>
      <c r="H6" s="48"/>
      <c r="I6" s="13"/>
      <c r="J6" s="10"/>
      <c r="K6" s="4"/>
    </row>
    <row r="7" spans="1:11" ht="39.75" customHeight="1">
      <c r="A7" s="118"/>
      <c r="B7" s="15" t="s">
        <v>117</v>
      </c>
      <c r="C7" s="14"/>
      <c r="D7" s="14"/>
      <c r="E7" s="14"/>
      <c r="F7" s="14"/>
      <c r="G7" s="14"/>
      <c r="H7" s="48"/>
      <c r="I7" s="14"/>
      <c r="J7" s="14"/>
      <c r="K7" s="4"/>
    </row>
    <row r="8" spans="1:11">
      <c r="A8" s="118"/>
      <c r="B8" s="15"/>
      <c r="C8" s="14"/>
      <c r="D8" s="14"/>
      <c r="E8" s="14"/>
      <c r="F8" s="14"/>
      <c r="G8" s="14"/>
      <c r="H8" s="48"/>
      <c r="I8" s="14"/>
      <c r="J8" s="14"/>
      <c r="K8" s="4"/>
    </row>
    <row r="9" spans="1:11">
      <c r="A9" s="115">
        <v>1.1000000000000001</v>
      </c>
      <c r="B9" s="97" t="s">
        <v>133</v>
      </c>
      <c r="C9" s="14"/>
      <c r="D9" s="14"/>
      <c r="E9" s="14"/>
      <c r="F9" s="14"/>
      <c r="G9" s="14"/>
      <c r="H9" s="48"/>
      <c r="I9" s="14"/>
      <c r="J9" s="14"/>
      <c r="K9" s="4"/>
    </row>
    <row r="10" spans="1:11">
      <c r="A10" s="118"/>
      <c r="B10" s="15"/>
      <c r="C10" s="14"/>
      <c r="D10" s="161"/>
      <c r="E10" s="161"/>
      <c r="F10" s="14"/>
      <c r="G10" s="14"/>
      <c r="H10" s="48"/>
      <c r="I10" s="14"/>
      <c r="J10" s="14"/>
      <c r="K10" s="4"/>
    </row>
    <row r="11" spans="1:11" ht="40.5" customHeight="1">
      <c r="A11" s="118">
        <v>1.1100000000000001</v>
      </c>
      <c r="B11" s="15" t="s">
        <v>359</v>
      </c>
      <c r="C11" s="14" t="s">
        <v>33</v>
      </c>
      <c r="D11" s="141">
        <f>D4+0.4</f>
        <v>3.4</v>
      </c>
      <c r="E11" s="141">
        <f>E4+0.4</f>
        <v>2.9</v>
      </c>
      <c r="F11" s="14"/>
      <c r="G11" s="14"/>
      <c r="H11" s="48"/>
      <c r="I11" s="14">
        <f>D11*E11</f>
        <v>9.86</v>
      </c>
      <c r="J11" s="10"/>
      <c r="K11" s="4">
        <f>I11*J11</f>
        <v>0</v>
      </c>
    </row>
    <row r="12" spans="1:11">
      <c r="A12" s="118"/>
      <c r="B12" s="15"/>
      <c r="C12" s="14"/>
      <c r="D12" s="14"/>
      <c r="E12" s="14"/>
      <c r="F12" s="14"/>
      <c r="G12" s="14"/>
      <c r="H12" s="48"/>
      <c r="I12" s="14"/>
      <c r="J12" s="14"/>
      <c r="K12" s="4"/>
    </row>
    <row r="13" spans="1:11">
      <c r="A13" s="115">
        <v>1.2</v>
      </c>
      <c r="B13" s="97" t="s">
        <v>134</v>
      </c>
      <c r="C13" s="14"/>
      <c r="D13" s="14"/>
      <c r="E13" s="14"/>
      <c r="F13" s="14"/>
      <c r="G13" s="14"/>
      <c r="H13" s="48"/>
      <c r="I13" s="14"/>
      <c r="J13" s="14"/>
      <c r="K13" s="4"/>
    </row>
    <row r="14" spans="1:11">
      <c r="A14" s="118"/>
      <c r="B14" s="15"/>
      <c r="C14" s="14"/>
      <c r="D14" s="14"/>
      <c r="E14" s="14"/>
      <c r="F14" s="14"/>
      <c r="G14" s="14"/>
      <c r="H14" s="48"/>
      <c r="I14" s="14"/>
      <c r="J14" s="14"/>
      <c r="K14" s="4"/>
    </row>
    <row r="15" spans="1:11" ht="43.5" customHeight="1">
      <c r="A15" s="118"/>
      <c r="B15" s="15" t="s">
        <v>234</v>
      </c>
      <c r="C15" s="14"/>
      <c r="D15" s="14"/>
      <c r="E15" s="14"/>
      <c r="F15" s="14"/>
      <c r="G15" s="14"/>
      <c r="H15" s="48"/>
      <c r="I15" s="14"/>
      <c r="J15" s="14"/>
      <c r="K15" s="4"/>
    </row>
    <row r="16" spans="1:11">
      <c r="A16" s="118"/>
      <c r="B16" s="15"/>
      <c r="C16" s="14"/>
      <c r="D16" s="14"/>
      <c r="E16" s="14"/>
      <c r="F16" s="14"/>
      <c r="G16" s="14"/>
      <c r="H16" s="48"/>
      <c r="I16" s="14"/>
      <c r="J16" s="14"/>
      <c r="K16" s="4"/>
    </row>
    <row r="17" spans="1:11" ht="15.75">
      <c r="A17" s="216">
        <v>1.21</v>
      </c>
      <c r="B17" s="217" t="s">
        <v>312</v>
      </c>
      <c r="C17" s="218" t="s">
        <v>30</v>
      </c>
      <c r="D17" s="142">
        <f>D11</f>
        <v>3.4</v>
      </c>
      <c r="E17" s="142">
        <f>F4</f>
        <v>2.2000000000000002</v>
      </c>
      <c r="F17" s="142">
        <v>0.6</v>
      </c>
      <c r="G17" s="142">
        <f>0.7+0.2</f>
        <v>0.89999999999999991</v>
      </c>
      <c r="H17" s="219" t="s">
        <v>314</v>
      </c>
      <c r="I17" s="218">
        <f>(((D17*2)+(E17*2))*F17*G17)+(D18*E18*F18)</f>
        <v>7.14</v>
      </c>
      <c r="J17" s="170"/>
      <c r="K17" s="220">
        <f>I17*J17</f>
        <v>0</v>
      </c>
    </row>
    <row r="18" spans="1:11">
      <c r="A18" s="119"/>
      <c r="B18" s="15"/>
      <c r="C18" s="14"/>
      <c r="D18" s="14">
        <f>D4-0.4</f>
        <v>2.6</v>
      </c>
      <c r="E18" s="14">
        <f>E4-0.4</f>
        <v>2.1</v>
      </c>
      <c r="F18" s="14">
        <v>0.2</v>
      </c>
      <c r="G18" s="14"/>
      <c r="H18" s="187" t="s">
        <v>316</v>
      </c>
      <c r="I18" s="14"/>
      <c r="J18" s="14"/>
      <c r="K18" s="4"/>
    </row>
    <row r="19" spans="1:11" ht="38.25">
      <c r="A19" s="120">
        <v>1.22</v>
      </c>
      <c r="B19" s="15" t="s">
        <v>239</v>
      </c>
      <c r="C19" s="14" t="s">
        <v>30</v>
      </c>
      <c r="D19" s="14"/>
      <c r="E19" s="14"/>
      <c r="F19" s="14"/>
      <c r="G19" s="14"/>
      <c r="H19" s="187" t="s">
        <v>100</v>
      </c>
      <c r="I19" s="14">
        <f>(I11*0.25)+(0.3*I17)</f>
        <v>4.6069999999999993</v>
      </c>
      <c r="J19" s="10"/>
      <c r="K19" s="4">
        <f>I19*J19</f>
        <v>0</v>
      </c>
    </row>
    <row r="20" spans="1:11">
      <c r="A20" s="119"/>
      <c r="B20" s="15"/>
      <c r="C20" s="14"/>
      <c r="D20" s="14"/>
      <c r="E20" s="14"/>
      <c r="F20" s="14"/>
      <c r="G20" s="14"/>
      <c r="H20" s="48"/>
      <c r="I20" s="14"/>
      <c r="J20" s="14"/>
      <c r="K20" s="4"/>
    </row>
    <row r="21" spans="1:11" ht="42" customHeight="1">
      <c r="A21" s="221">
        <v>1.23</v>
      </c>
      <c r="B21" s="222" t="s">
        <v>282</v>
      </c>
      <c r="C21" s="8" t="s">
        <v>30</v>
      </c>
      <c r="D21" s="8"/>
      <c r="E21" s="8"/>
      <c r="F21" s="8"/>
      <c r="G21" s="8"/>
      <c r="H21" s="182" t="s">
        <v>155</v>
      </c>
      <c r="I21" s="218">
        <f>60%*(SUM($I17))</f>
        <v>4.2839999999999998</v>
      </c>
      <c r="J21" s="170"/>
      <c r="K21" s="220">
        <f>I21*J21</f>
        <v>0</v>
      </c>
    </row>
    <row r="22" spans="1:11">
      <c r="A22" s="121"/>
      <c r="B22" s="99"/>
      <c r="C22" s="50"/>
      <c r="D22" s="50"/>
      <c r="E22" s="50"/>
      <c r="F22" s="50"/>
      <c r="G22" s="50"/>
      <c r="H22" s="148"/>
      <c r="I22" s="86"/>
      <c r="J22" s="14"/>
      <c r="K22" s="4"/>
    </row>
    <row r="23" spans="1:11" ht="15.75">
      <c r="A23" s="221">
        <v>1.24</v>
      </c>
      <c r="B23" s="222" t="s">
        <v>31</v>
      </c>
      <c r="C23" s="8" t="s">
        <v>30</v>
      </c>
      <c r="D23" s="8"/>
      <c r="E23" s="8"/>
      <c r="F23" s="8"/>
      <c r="G23" s="8"/>
      <c r="H23" s="182" t="s">
        <v>114</v>
      </c>
      <c r="I23" s="223">
        <f>30%*(SUM($I17))</f>
        <v>2.1419999999999999</v>
      </c>
      <c r="J23" s="170"/>
      <c r="K23" s="220">
        <f>I23*J23</f>
        <v>0</v>
      </c>
    </row>
    <row r="24" spans="1:11">
      <c r="A24" s="221"/>
      <c r="B24" s="222"/>
      <c r="C24" s="8"/>
      <c r="D24" s="8"/>
      <c r="E24" s="8"/>
      <c r="F24" s="8"/>
      <c r="G24" s="8"/>
      <c r="H24" s="148"/>
      <c r="I24" s="223"/>
      <c r="J24" s="218"/>
      <c r="K24" s="220"/>
    </row>
    <row r="25" spans="1:11" ht="15.75">
      <c r="A25" s="221">
        <v>1.25</v>
      </c>
      <c r="B25" s="222" t="s">
        <v>32</v>
      </c>
      <c r="C25" s="8" t="s">
        <v>30</v>
      </c>
      <c r="D25" s="8"/>
      <c r="E25" s="8"/>
      <c r="F25" s="8"/>
      <c r="G25" s="8"/>
      <c r="H25" s="182" t="s">
        <v>160</v>
      </c>
      <c r="I25" s="223">
        <f>10%*(SUM($I17))</f>
        <v>0.71399999999999997</v>
      </c>
      <c r="J25" s="170"/>
      <c r="K25" s="220">
        <f>I25*J25</f>
        <v>0</v>
      </c>
    </row>
    <row r="26" spans="1:11">
      <c r="A26" s="118"/>
      <c r="B26" s="15"/>
      <c r="C26" s="14"/>
      <c r="D26" s="14"/>
      <c r="E26" s="14"/>
      <c r="F26" s="14"/>
      <c r="G26" s="14"/>
      <c r="H26" s="48"/>
      <c r="I26" s="14"/>
      <c r="J26" s="14"/>
      <c r="K26" s="4"/>
    </row>
    <row r="27" spans="1:11">
      <c r="A27" s="115">
        <v>1.3</v>
      </c>
      <c r="B27" s="97" t="s">
        <v>135</v>
      </c>
      <c r="C27" s="14"/>
      <c r="D27" s="50"/>
      <c r="E27" s="50"/>
      <c r="F27" s="50"/>
      <c r="G27" s="50"/>
      <c r="H27" s="48"/>
      <c r="I27" s="14"/>
      <c r="J27" s="14"/>
      <c r="K27" s="4"/>
    </row>
    <row r="28" spans="1:11">
      <c r="A28" s="118"/>
      <c r="B28" s="15"/>
      <c r="C28" s="14"/>
      <c r="D28" s="14"/>
      <c r="E28" s="14"/>
      <c r="F28" s="14"/>
      <c r="G28" s="14"/>
      <c r="H28" s="48"/>
      <c r="I28" s="14"/>
      <c r="J28" s="14"/>
      <c r="K28" s="4"/>
    </row>
    <row r="29" spans="1:11" ht="15.75">
      <c r="A29" s="118">
        <v>1.31</v>
      </c>
      <c r="B29" s="217" t="s">
        <v>120</v>
      </c>
      <c r="C29" s="14" t="s">
        <v>30</v>
      </c>
      <c r="D29" s="141">
        <f>D17</f>
        <v>3.4</v>
      </c>
      <c r="E29" s="141">
        <f>E4</f>
        <v>2.5</v>
      </c>
      <c r="F29" s="141">
        <v>0.2</v>
      </c>
      <c r="G29" s="14"/>
      <c r="H29" s="48"/>
      <c r="I29" s="14">
        <f>D29*E29*F29</f>
        <v>1.7000000000000002</v>
      </c>
      <c r="J29" s="10"/>
      <c r="K29" s="4">
        <f>I29*J29</f>
        <v>0</v>
      </c>
    </row>
    <row r="30" spans="1:11">
      <c r="A30" s="81"/>
      <c r="B30" s="95"/>
      <c r="C30" s="74"/>
      <c r="D30" s="84"/>
      <c r="E30" s="84"/>
      <c r="F30" s="84"/>
      <c r="G30" s="84"/>
      <c r="H30" s="189"/>
      <c r="I30" s="83"/>
      <c r="J30" s="76"/>
      <c r="K30" s="77"/>
    </row>
    <row r="31" spans="1:11" s="92" customFormat="1" ht="15">
      <c r="A31" s="415" t="s">
        <v>91</v>
      </c>
      <c r="B31" s="416"/>
      <c r="C31" s="416"/>
      <c r="D31" s="416"/>
      <c r="E31" s="416"/>
      <c r="F31" s="416"/>
      <c r="G31" s="416"/>
      <c r="H31" s="416"/>
      <c r="I31" s="416"/>
      <c r="J31" s="417"/>
      <c r="K31" s="202">
        <f>SUM(K5:K30)</f>
        <v>0</v>
      </c>
    </row>
    <row r="32" spans="1:11" s="9" customFormat="1">
      <c r="A32" s="78"/>
      <c r="B32" s="79"/>
      <c r="C32" s="74"/>
      <c r="D32" s="75"/>
      <c r="E32" s="75"/>
      <c r="F32" s="75"/>
      <c r="G32" s="75"/>
      <c r="H32" s="96"/>
      <c r="I32" s="74"/>
      <c r="J32" s="76"/>
      <c r="K32" s="77"/>
    </row>
    <row r="33" spans="1:11">
      <c r="A33" s="115">
        <v>2</v>
      </c>
      <c r="B33" s="2" t="s">
        <v>45</v>
      </c>
      <c r="C33" s="13"/>
      <c r="D33" s="13"/>
      <c r="E33" s="13"/>
      <c r="F33" s="13"/>
      <c r="G33" s="13"/>
      <c r="H33" s="48"/>
      <c r="I33" s="13"/>
      <c r="J33" s="10"/>
      <c r="K33" s="4"/>
    </row>
    <row r="34" spans="1:11">
      <c r="A34" s="116"/>
      <c r="B34" s="98"/>
      <c r="C34" s="13"/>
      <c r="D34" s="13"/>
      <c r="E34" s="13"/>
      <c r="F34" s="13"/>
      <c r="G34" s="13"/>
      <c r="H34" s="48"/>
      <c r="I34" s="13"/>
      <c r="J34" s="10"/>
      <c r="K34" s="4"/>
    </row>
    <row r="35" spans="1:11">
      <c r="A35" s="78">
        <v>2.1</v>
      </c>
      <c r="B35" s="89" t="s">
        <v>183</v>
      </c>
      <c r="C35" s="13"/>
      <c r="D35" s="6"/>
      <c r="E35" s="4"/>
      <c r="F35" s="4"/>
      <c r="G35" s="13"/>
      <c r="H35" s="48"/>
      <c r="I35" s="13"/>
      <c r="J35" s="10"/>
      <c r="K35" s="4"/>
    </row>
    <row r="36" spans="1:11">
      <c r="A36" s="116"/>
      <c r="B36" s="99"/>
      <c r="C36" s="13"/>
      <c r="D36" s="4"/>
      <c r="E36" s="4"/>
      <c r="F36" s="4"/>
      <c r="G36" s="14"/>
      <c r="H36" s="48"/>
      <c r="I36" s="13"/>
      <c r="J36" s="10"/>
      <c r="K36" s="4"/>
    </row>
    <row r="37" spans="1:11" ht="15.75">
      <c r="A37" s="19">
        <v>2.11</v>
      </c>
      <c r="B37" s="157" t="s">
        <v>265</v>
      </c>
      <c r="C37" s="13" t="s">
        <v>33</v>
      </c>
      <c r="D37" s="4"/>
      <c r="E37" s="4"/>
      <c r="F37" s="4"/>
      <c r="G37" s="14"/>
      <c r="H37" s="48"/>
      <c r="I37" s="146">
        <f>I29/F29</f>
        <v>8.5</v>
      </c>
      <c r="J37" s="10"/>
      <c r="K37" s="4">
        <f>I37*J37</f>
        <v>0</v>
      </c>
    </row>
    <row r="38" spans="1:11">
      <c r="A38" s="116"/>
      <c r="B38" s="102"/>
      <c r="C38" s="13"/>
      <c r="D38" s="4"/>
      <c r="E38" s="4"/>
      <c r="F38" s="4"/>
      <c r="G38" s="14"/>
      <c r="H38" s="48"/>
      <c r="I38" s="13"/>
      <c r="J38" s="10"/>
      <c r="K38" s="4"/>
    </row>
    <row r="39" spans="1:11">
      <c r="A39" s="115">
        <v>2.2000000000000002</v>
      </c>
      <c r="B39" s="2" t="s">
        <v>44</v>
      </c>
      <c r="C39" s="13"/>
      <c r="D39" s="13"/>
      <c r="E39" s="13"/>
      <c r="F39" s="13"/>
      <c r="G39" s="13"/>
      <c r="H39" s="48"/>
      <c r="I39" s="13"/>
      <c r="J39" s="10"/>
      <c r="K39" s="4"/>
    </row>
    <row r="40" spans="1:11" ht="15">
      <c r="A40" s="115"/>
      <c r="B40" s="17"/>
      <c r="C40" s="13"/>
      <c r="D40" s="13"/>
      <c r="E40" s="13"/>
      <c r="F40" s="13"/>
      <c r="G40" s="13"/>
      <c r="H40" s="48"/>
      <c r="I40" s="13"/>
      <c r="J40" s="10"/>
      <c r="K40" s="4"/>
    </row>
    <row r="41" spans="1:11" s="9" customFormat="1" ht="25.5">
      <c r="A41" s="81">
        <v>2.21</v>
      </c>
      <c r="B41" s="85" t="s">
        <v>152</v>
      </c>
      <c r="C41" s="13" t="s">
        <v>10</v>
      </c>
      <c r="D41" s="13">
        <f>D4</f>
        <v>3</v>
      </c>
      <c r="E41" s="13">
        <f>F4</f>
        <v>2.2000000000000002</v>
      </c>
      <c r="F41" s="13">
        <v>0.2</v>
      </c>
      <c r="G41" s="9">
        <v>0.6</v>
      </c>
      <c r="H41" s="48" t="s">
        <v>175</v>
      </c>
      <c r="I41" s="13">
        <f>2*((D41*F41*G41)+(E41*F41*G41))</f>
        <v>1.2480000000000002</v>
      </c>
      <c r="J41" s="10"/>
      <c r="K41" s="4">
        <f>I41*J41</f>
        <v>0</v>
      </c>
    </row>
    <row r="42" spans="1:11">
      <c r="A42" s="118"/>
      <c r="B42" s="155"/>
      <c r="C42" s="13"/>
      <c r="D42" s="13"/>
      <c r="F42" s="13"/>
      <c r="G42" s="13"/>
      <c r="H42" s="48"/>
      <c r="I42" s="13"/>
      <c r="J42" s="10"/>
      <c r="K42" s="4"/>
    </row>
    <row r="43" spans="1:11" ht="42" customHeight="1">
      <c r="A43" s="118">
        <v>2.2200000000000002</v>
      </c>
      <c r="B43" s="15" t="s">
        <v>273</v>
      </c>
      <c r="C43" s="13" t="s">
        <v>11</v>
      </c>
      <c r="D43" s="13">
        <f>D4</f>
        <v>3</v>
      </c>
      <c r="E43" s="13">
        <f>E4</f>
        <v>2.5</v>
      </c>
      <c r="F43" s="13"/>
      <c r="G43" s="13"/>
      <c r="H43" s="48" t="s">
        <v>212</v>
      </c>
      <c r="I43" s="13">
        <f>I37/F41</f>
        <v>42.5</v>
      </c>
      <c r="J43" s="10"/>
      <c r="K43" s="4">
        <f>I43*J43</f>
        <v>0</v>
      </c>
    </row>
    <row r="44" spans="1:11">
      <c r="A44" s="118"/>
      <c r="B44" s="15"/>
      <c r="C44" s="13"/>
      <c r="D44" s="13"/>
      <c r="E44" s="13"/>
      <c r="F44" s="13"/>
      <c r="G44" s="13"/>
      <c r="H44" s="48"/>
      <c r="I44" s="13"/>
      <c r="J44" s="10"/>
      <c r="K44" s="4"/>
    </row>
    <row r="45" spans="1:11" ht="54" customHeight="1">
      <c r="A45" s="118">
        <v>2.23</v>
      </c>
      <c r="B45" s="15" t="s">
        <v>274</v>
      </c>
      <c r="C45" s="13" t="s">
        <v>10</v>
      </c>
      <c r="D45" s="13">
        <f>D43</f>
        <v>3</v>
      </c>
      <c r="E45" s="13">
        <f>E43</f>
        <v>2.5</v>
      </c>
      <c r="F45" s="13">
        <v>0.15</v>
      </c>
      <c r="G45" s="13"/>
      <c r="H45" s="48" t="s">
        <v>176</v>
      </c>
      <c r="I45" s="13">
        <f>D45*E45*F45</f>
        <v>1.125</v>
      </c>
      <c r="J45" s="10"/>
      <c r="K45" s="4">
        <f>I45*J45</f>
        <v>0</v>
      </c>
    </row>
    <row r="46" spans="1:11" ht="17.25" customHeight="1">
      <c r="A46" s="118"/>
      <c r="B46" s="15"/>
      <c r="C46" s="13"/>
      <c r="D46" s="13"/>
      <c r="E46" s="13"/>
      <c r="F46" s="13"/>
      <c r="G46" s="13"/>
      <c r="H46" s="48"/>
      <c r="I46" s="13"/>
      <c r="J46" s="10"/>
      <c r="K46" s="4"/>
    </row>
    <row r="47" spans="1:11" ht="54" customHeight="1">
      <c r="A47" s="118">
        <v>2.2400000000000002</v>
      </c>
      <c r="B47" s="15" t="s">
        <v>275</v>
      </c>
      <c r="C47" s="13" t="s">
        <v>10</v>
      </c>
      <c r="D47" s="13">
        <v>1</v>
      </c>
      <c r="E47" s="13">
        <v>1.5</v>
      </c>
      <c r="F47" s="13">
        <v>0.15</v>
      </c>
      <c r="G47" s="13"/>
      <c r="H47" s="48"/>
      <c r="I47" s="13">
        <f>D47*E47*F47</f>
        <v>0.22499999999999998</v>
      </c>
      <c r="J47" s="10"/>
      <c r="K47" s="4">
        <f>I47*J47</f>
        <v>0</v>
      </c>
    </row>
    <row r="48" spans="1:11" ht="12" customHeight="1">
      <c r="A48" s="118"/>
      <c r="B48" s="15"/>
      <c r="C48" s="13"/>
      <c r="D48" s="13"/>
      <c r="E48" s="13"/>
      <c r="F48" s="13"/>
      <c r="G48" s="13"/>
      <c r="H48" s="48"/>
      <c r="I48" s="13"/>
      <c r="J48" s="10"/>
      <c r="K48" s="4"/>
    </row>
    <row r="49" spans="1:11" ht="44.25" customHeight="1">
      <c r="A49" s="118">
        <v>2.25</v>
      </c>
      <c r="B49" s="15" t="s">
        <v>276</v>
      </c>
      <c r="C49" s="13" t="s">
        <v>10</v>
      </c>
      <c r="D49" s="13">
        <v>1.23</v>
      </c>
      <c r="E49" s="13">
        <v>1.35</v>
      </c>
      <c r="F49" s="13">
        <v>7.4999999999999997E-2</v>
      </c>
      <c r="G49" s="13"/>
      <c r="H49" s="48"/>
      <c r="I49" s="13">
        <f>2*D49*E49*F49</f>
        <v>0.24907499999999999</v>
      </c>
      <c r="J49" s="10"/>
      <c r="K49" s="4">
        <f>I49*J49</f>
        <v>0</v>
      </c>
    </row>
    <row r="50" spans="1:11" ht="17.25" customHeight="1">
      <c r="A50" s="118"/>
      <c r="B50" s="15"/>
      <c r="C50" s="13"/>
      <c r="D50" s="13"/>
      <c r="E50" s="13"/>
      <c r="F50" s="13"/>
      <c r="G50" s="13"/>
      <c r="H50" s="48"/>
      <c r="I50" s="13"/>
      <c r="J50" s="10"/>
      <c r="K50" s="4"/>
    </row>
    <row r="51" spans="1:11">
      <c r="A51" s="116">
        <v>2.2999999999999998</v>
      </c>
      <c r="B51" s="100" t="s">
        <v>65</v>
      </c>
      <c r="C51" s="13"/>
      <c r="D51" s="13"/>
      <c r="E51" s="13"/>
      <c r="F51" s="13"/>
      <c r="G51" s="13"/>
      <c r="H51" s="48"/>
      <c r="I51" s="13"/>
      <c r="J51" s="10"/>
      <c r="K51" s="4"/>
    </row>
    <row r="52" spans="1:11">
      <c r="A52" s="116"/>
      <c r="B52" s="100"/>
      <c r="C52" s="13"/>
      <c r="D52" s="13"/>
      <c r="E52" s="13"/>
      <c r="F52" s="13"/>
      <c r="G52" s="13"/>
      <c r="H52" s="48"/>
      <c r="I52" s="13"/>
      <c r="J52" s="10"/>
      <c r="K52" s="4"/>
    </row>
    <row r="53" spans="1:11" ht="69" customHeight="1">
      <c r="A53" s="118">
        <v>2.31</v>
      </c>
      <c r="B53" s="99" t="s">
        <v>280</v>
      </c>
      <c r="C53" s="13" t="s">
        <v>33</v>
      </c>
      <c r="D53" s="13"/>
      <c r="E53" s="13"/>
      <c r="F53" s="13"/>
      <c r="G53" s="13"/>
      <c r="H53" s="48" t="s">
        <v>261</v>
      </c>
      <c r="I53" s="13">
        <f>(I45/F45)+(D47*E47)+(2*D49*E49)</f>
        <v>12.321</v>
      </c>
      <c r="J53" s="10"/>
      <c r="K53" s="4">
        <f>I53*J53</f>
        <v>0</v>
      </c>
    </row>
    <row r="54" spans="1:11">
      <c r="A54" s="118"/>
      <c r="B54" s="99"/>
      <c r="C54" s="13"/>
      <c r="D54" s="13"/>
      <c r="E54" s="13"/>
      <c r="F54" s="13"/>
      <c r="G54" s="13"/>
      <c r="H54" s="48"/>
      <c r="I54" s="13"/>
      <c r="J54" s="10"/>
      <c r="K54" s="4"/>
    </row>
    <row r="55" spans="1:11">
      <c r="A55" s="116">
        <v>2.4</v>
      </c>
      <c r="B55" s="100" t="s">
        <v>35</v>
      </c>
      <c r="C55" s="13"/>
      <c r="D55" s="13"/>
      <c r="E55" s="13"/>
      <c r="F55" s="13"/>
      <c r="G55" s="13"/>
      <c r="H55" s="48"/>
      <c r="I55" s="13"/>
      <c r="J55" s="10"/>
      <c r="K55" s="4"/>
    </row>
    <row r="56" spans="1:11">
      <c r="A56" s="118"/>
      <c r="B56" s="101"/>
      <c r="C56" s="13"/>
      <c r="D56" s="13"/>
      <c r="E56" s="13"/>
      <c r="F56" s="13"/>
      <c r="G56" s="13"/>
      <c r="H56" s="48"/>
      <c r="I56" s="13"/>
      <c r="J56" s="10"/>
      <c r="K56" s="4"/>
    </row>
    <row r="57" spans="1:11" ht="25.5">
      <c r="A57" s="118"/>
      <c r="B57" s="99" t="s">
        <v>236</v>
      </c>
      <c r="C57" s="13"/>
      <c r="D57" s="13"/>
      <c r="E57" s="13"/>
      <c r="F57" s="13"/>
      <c r="G57" s="13"/>
      <c r="H57" s="48"/>
      <c r="I57" s="13"/>
      <c r="J57" s="10"/>
      <c r="K57" s="4"/>
    </row>
    <row r="58" spans="1:11">
      <c r="A58" s="118"/>
      <c r="B58" s="99"/>
      <c r="C58" s="13"/>
      <c r="D58" s="13"/>
      <c r="E58" s="13"/>
      <c r="F58" s="13"/>
      <c r="G58" s="13"/>
      <c r="H58" s="48"/>
      <c r="I58" s="13"/>
      <c r="J58" s="10"/>
      <c r="K58" s="4"/>
    </row>
    <row r="59" spans="1:11">
      <c r="A59" s="118">
        <v>2.41</v>
      </c>
      <c r="B59" s="99" t="s">
        <v>101</v>
      </c>
      <c r="C59" s="13" t="s">
        <v>3</v>
      </c>
      <c r="D59" s="13">
        <f>D45</f>
        <v>3</v>
      </c>
      <c r="E59" s="13">
        <f>E45</f>
        <v>2.5</v>
      </c>
      <c r="F59" s="13"/>
      <c r="G59" s="13"/>
      <c r="H59" s="48"/>
      <c r="I59" s="13">
        <f>(D59*2)+(E59*2)</f>
        <v>11</v>
      </c>
      <c r="J59" s="10"/>
      <c r="K59" s="4">
        <f>I59*J59</f>
        <v>0</v>
      </c>
    </row>
    <row r="60" spans="1:11">
      <c r="A60" s="118"/>
      <c r="B60" s="99"/>
      <c r="C60" s="13"/>
      <c r="D60" s="13"/>
      <c r="E60" s="13"/>
      <c r="F60" s="13"/>
      <c r="G60" s="13"/>
      <c r="H60" s="48"/>
      <c r="I60" s="13"/>
      <c r="J60" s="10"/>
      <c r="K60" s="4"/>
    </row>
    <row r="61" spans="1:11">
      <c r="A61" s="118">
        <v>2.42</v>
      </c>
      <c r="B61" s="99" t="s">
        <v>213</v>
      </c>
      <c r="C61" s="13" t="s">
        <v>3</v>
      </c>
      <c r="D61" s="13">
        <f>D47</f>
        <v>1</v>
      </c>
      <c r="E61" s="13">
        <f>E47</f>
        <v>1.5</v>
      </c>
      <c r="F61" s="13"/>
      <c r="G61" s="13"/>
      <c r="H61" s="48"/>
      <c r="I61" s="13">
        <f>(D61*2)+(E61*2)</f>
        <v>5</v>
      </c>
      <c r="J61" s="10"/>
      <c r="K61" s="4">
        <f>I61*J61</f>
        <v>0</v>
      </c>
    </row>
    <row r="62" spans="1:11">
      <c r="A62" s="118"/>
      <c r="B62" s="99"/>
      <c r="C62" s="13"/>
      <c r="D62" s="13"/>
      <c r="E62" s="13"/>
      <c r="F62" s="13"/>
      <c r="G62" s="13"/>
      <c r="H62" s="48"/>
      <c r="I62" s="13"/>
      <c r="J62" s="10"/>
      <c r="K62" s="4"/>
    </row>
    <row r="63" spans="1:11" ht="15.75">
      <c r="A63" s="118">
        <v>2.4300000000000002</v>
      </c>
      <c r="B63" s="99" t="s">
        <v>262</v>
      </c>
      <c r="C63" s="13" t="s">
        <v>33</v>
      </c>
      <c r="D63" s="13"/>
      <c r="E63" s="13"/>
      <c r="F63" s="13"/>
      <c r="G63" s="13"/>
      <c r="H63" s="48"/>
      <c r="I63" s="13">
        <f>2*D49*E49</f>
        <v>3.3210000000000002</v>
      </c>
      <c r="J63" s="10"/>
      <c r="K63" s="4">
        <f>I63*J63</f>
        <v>0</v>
      </c>
    </row>
    <row r="64" spans="1:11">
      <c r="A64" s="118"/>
      <c r="B64" s="99"/>
      <c r="C64" s="13"/>
      <c r="D64" s="13"/>
      <c r="E64" s="13"/>
      <c r="F64" s="13"/>
      <c r="G64" s="13"/>
      <c r="H64" s="48"/>
      <c r="I64" s="13"/>
      <c r="J64" s="10"/>
      <c r="K64" s="4"/>
    </row>
    <row r="65" spans="1:11" s="9" customFormat="1">
      <c r="A65" s="78">
        <v>2.5</v>
      </c>
      <c r="B65" s="89" t="s">
        <v>98</v>
      </c>
      <c r="C65" s="13"/>
      <c r="D65" s="13"/>
      <c r="E65" s="13"/>
      <c r="F65" s="13"/>
      <c r="G65" s="13"/>
      <c r="H65" s="48"/>
      <c r="I65" s="13"/>
      <c r="J65" s="10"/>
      <c r="K65" s="4"/>
    </row>
    <row r="66" spans="1:11" s="9" customFormat="1">
      <c r="A66" s="78"/>
      <c r="B66" s="89"/>
      <c r="C66" s="13"/>
      <c r="D66" s="13"/>
      <c r="E66" s="13"/>
      <c r="F66" s="13"/>
      <c r="G66" s="13"/>
      <c r="H66" s="48"/>
      <c r="I66" s="13"/>
      <c r="J66" s="10"/>
      <c r="K66" s="4"/>
    </row>
    <row r="67" spans="1:11" s="9" customFormat="1" ht="39.75" customHeight="1">
      <c r="A67" s="81">
        <v>2.5099999999999998</v>
      </c>
      <c r="B67" s="143" t="s">
        <v>214</v>
      </c>
      <c r="C67" s="13" t="s">
        <v>33</v>
      </c>
      <c r="D67" s="13">
        <f>D45</f>
        <v>3</v>
      </c>
      <c r="E67" s="13">
        <f>E4</f>
        <v>2.5</v>
      </c>
      <c r="F67" s="13"/>
      <c r="G67" s="13"/>
      <c r="H67" s="48"/>
      <c r="I67" s="13">
        <f>D67*E67</f>
        <v>7.5</v>
      </c>
      <c r="J67" s="10"/>
      <c r="K67" s="4">
        <f>I67*J67</f>
        <v>0</v>
      </c>
    </row>
    <row r="68" spans="1:11" s="9" customFormat="1">
      <c r="A68" s="81"/>
      <c r="B68" s="143"/>
      <c r="C68" s="13"/>
      <c r="D68" s="13"/>
      <c r="E68" s="13"/>
      <c r="F68" s="13"/>
      <c r="G68" s="13"/>
      <c r="H68" s="48"/>
      <c r="I68" s="13"/>
      <c r="J68" s="10"/>
      <c r="K68" s="4"/>
    </row>
    <row r="69" spans="1:11" s="92" customFormat="1" ht="15">
      <c r="A69" s="437" t="s">
        <v>83</v>
      </c>
      <c r="B69" s="438"/>
      <c r="C69" s="438"/>
      <c r="D69" s="438"/>
      <c r="E69" s="438"/>
      <c r="F69" s="438"/>
      <c r="G69" s="438"/>
      <c r="H69" s="438"/>
      <c r="I69" s="438"/>
      <c r="J69" s="439"/>
      <c r="K69" s="202">
        <f>SUM(K32:K68)</f>
        <v>0</v>
      </c>
    </row>
    <row r="70" spans="1:11" s="9" customFormat="1">
      <c r="A70" s="78"/>
      <c r="B70" s="79"/>
      <c r="C70" s="74"/>
      <c r="D70" s="75"/>
      <c r="E70" s="75"/>
      <c r="F70" s="75"/>
      <c r="G70" s="75"/>
      <c r="H70" s="96"/>
      <c r="I70" s="74"/>
      <c r="J70" s="76"/>
      <c r="K70" s="77"/>
    </row>
    <row r="71" spans="1:11">
      <c r="A71" s="116">
        <v>3</v>
      </c>
      <c r="B71" s="140" t="s">
        <v>215</v>
      </c>
      <c r="C71" s="51"/>
      <c r="D71" s="14"/>
      <c r="E71" s="14"/>
      <c r="F71" s="14"/>
      <c r="G71" s="14"/>
      <c r="H71" s="48"/>
      <c r="I71" s="14"/>
      <c r="J71" s="14"/>
      <c r="K71" s="4"/>
    </row>
    <row r="72" spans="1:11">
      <c r="A72" s="116"/>
      <c r="B72" s="99"/>
      <c r="C72" s="13"/>
      <c r="D72" s="13"/>
      <c r="E72" s="13"/>
      <c r="F72" s="13"/>
      <c r="G72" s="13"/>
      <c r="H72" s="48"/>
      <c r="I72" s="13"/>
      <c r="J72" s="10"/>
      <c r="K72" s="4"/>
    </row>
    <row r="73" spans="1:11" ht="80.25" customHeight="1">
      <c r="A73" s="118">
        <v>3.1</v>
      </c>
      <c r="B73" s="99" t="s">
        <v>216</v>
      </c>
      <c r="C73" s="13" t="s">
        <v>180</v>
      </c>
      <c r="D73" s="13"/>
      <c r="E73" s="13"/>
      <c r="F73" s="13"/>
      <c r="G73" s="13"/>
      <c r="H73" s="48"/>
      <c r="I73" s="13" t="s">
        <v>104</v>
      </c>
      <c r="J73" s="10"/>
      <c r="K73" s="4">
        <f>J73</f>
        <v>0</v>
      </c>
    </row>
    <row r="74" spans="1:11">
      <c r="A74" s="116"/>
      <c r="B74" s="99"/>
      <c r="C74" s="13"/>
      <c r="D74" s="13"/>
      <c r="E74" s="13"/>
      <c r="F74" s="13"/>
      <c r="G74" s="13"/>
      <c r="H74" s="48"/>
      <c r="I74" s="13"/>
      <c r="J74" s="10"/>
      <c r="K74" s="4"/>
    </row>
    <row r="75" spans="1:11" s="92" customFormat="1" ht="15">
      <c r="A75" s="415" t="s">
        <v>84</v>
      </c>
      <c r="B75" s="416"/>
      <c r="C75" s="416"/>
      <c r="D75" s="416"/>
      <c r="E75" s="416"/>
      <c r="F75" s="416"/>
      <c r="G75" s="416"/>
      <c r="H75" s="416"/>
      <c r="I75" s="416"/>
      <c r="J75" s="417"/>
      <c r="K75" s="202">
        <f>SUM(K70:K74)</f>
        <v>0</v>
      </c>
    </row>
    <row r="76" spans="1:11" s="9" customFormat="1">
      <c r="A76" s="78"/>
      <c r="B76" s="79"/>
      <c r="C76" s="74"/>
      <c r="D76" s="75"/>
      <c r="E76" s="75"/>
      <c r="F76" s="75"/>
      <c r="G76" s="75"/>
      <c r="H76" s="96"/>
      <c r="I76" s="74"/>
      <c r="J76" s="76"/>
      <c r="K76" s="77"/>
    </row>
    <row r="77" spans="1:11">
      <c r="A77" s="116">
        <v>4</v>
      </c>
      <c r="B77" s="140" t="s">
        <v>38</v>
      </c>
      <c r="C77" s="51"/>
      <c r="D77" s="14"/>
      <c r="E77" s="14"/>
      <c r="F77" s="14"/>
      <c r="G77" s="14"/>
      <c r="H77" s="48"/>
      <c r="I77" s="14"/>
      <c r="J77" s="14"/>
      <c r="K77" s="4"/>
    </row>
    <row r="78" spans="1:11">
      <c r="A78" s="116"/>
      <c r="B78" s="99"/>
      <c r="C78" s="13"/>
      <c r="D78" s="13"/>
      <c r="E78" s="13"/>
      <c r="F78" s="13"/>
      <c r="G78" s="13"/>
      <c r="H78" s="48"/>
      <c r="I78" s="13"/>
      <c r="J78" s="10"/>
      <c r="K78" s="4"/>
    </row>
    <row r="79" spans="1:11">
      <c r="A79" s="78">
        <v>4.0999999999999996</v>
      </c>
      <c r="B79" s="89" t="s">
        <v>142</v>
      </c>
      <c r="C79" s="13"/>
      <c r="D79" s="13"/>
      <c r="E79" s="13"/>
      <c r="F79" s="13"/>
      <c r="G79" s="13"/>
      <c r="H79" s="48"/>
      <c r="I79" s="13"/>
      <c r="J79" s="10"/>
      <c r="K79" s="4"/>
    </row>
    <row r="80" spans="1:11">
      <c r="A80" s="116"/>
      <c r="B80" s="99"/>
      <c r="C80" s="13"/>
      <c r="D80" s="13"/>
      <c r="E80" s="13"/>
      <c r="F80" s="13"/>
      <c r="G80" s="13"/>
      <c r="H80" s="48"/>
      <c r="I80" s="13"/>
      <c r="J80" s="10"/>
      <c r="K80" s="4"/>
    </row>
    <row r="81" spans="1:11" ht="38.25">
      <c r="A81" s="116"/>
      <c r="B81" s="99" t="s">
        <v>173</v>
      </c>
      <c r="C81" s="13"/>
      <c r="D81" s="13"/>
      <c r="E81" s="13"/>
      <c r="F81" s="13"/>
      <c r="G81" s="13"/>
      <c r="H81" s="48"/>
      <c r="I81" s="13"/>
      <c r="J81" s="10"/>
      <c r="K81" s="4"/>
    </row>
    <row r="82" spans="1:11">
      <c r="A82" s="116"/>
      <c r="B82" s="99"/>
      <c r="C82" s="13"/>
      <c r="D82" s="13"/>
      <c r="E82" s="13"/>
      <c r="F82" s="13"/>
      <c r="G82" s="13"/>
      <c r="H82" s="48"/>
      <c r="I82" s="13"/>
      <c r="J82" s="10"/>
      <c r="K82" s="4"/>
    </row>
    <row r="83" spans="1:11" ht="15.75">
      <c r="A83" s="118">
        <v>4.1100000000000003</v>
      </c>
      <c r="B83" s="99" t="s">
        <v>37</v>
      </c>
      <c r="C83" s="13" t="s">
        <v>33</v>
      </c>
      <c r="D83" s="191">
        <f>D4</f>
        <v>3</v>
      </c>
      <c r="E83" s="7">
        <f>E4</f>
        <v>2.5</v>
      </c>
      <c r="F83" s="192">
        <v>1</v>
      </c>
      <c r="G83" s="13"/>
      <c r="H83" s="187"/>
      <c r="I83" s="14">
        <f>(((D83*2)+(E83*2))-D84)*F83</f>
        <v>10.1</v>
      </c>
      <c r="J83" s="10"/>
      <c r="K83" s="4">
        <f>I83*J83</f>
        <v>0</v>
      </c>
    </row>
    <row r="84" spans="1:11">
      <c r="A84" s="118"/>
      <c r="B84" s="99"/>
      <c r="C84" s="13"/>
      <c r="D84" s="206">
        <v>0.9</v>
      </c>
      <c r="E84" s="4"/>
      <c r="F84" s="4"/>
      <c r="G84" s="13"/>
      <c r="H84" s="187"/>
      <c r="I84" s="14"/>
      <c r="J84" s="14"/>
      <c r="K84" s="4"/>
    </row>
    <row r="85" spans="1:11" ht="15.75">
      <c r="A85" s="118">
        <v>4.12</v>
      </c>
      <c r="B85" s="99" t="s">
        <v>102</v>
      </c>
      <c r="C85" s="13" t="s">
        <v>33</v>
      </c>
      <c r="D85" s="75">
        <f>D4</f>
        <v>3</v>
      </c>
      <c r="E85" s="75">
        <f>E4</f>
        <v>2.5</v>
      </c>
      <c r="F85" s="45">
        <v>0.5</v>
      </c>
      <c r="G85" s="75"/>
      <c r="H85" s="187"/>
      <c r="I85" s="14">
        <f>((2*D85)+(E85*2))*F85</f>
        <v>5.5</v>
      </c>
      <c r="J85" s="10"/>
      <c r="K85" s="4">
        <f>I85*J85</f>
        <v>0</v>
      </c>
    </row>
    <row r="86" spans="1:11">
      <c r="A86" s="156"/>
      <c r="B86" s="155"/>
      <c r="C86" s="13"/>
      <c r="D86" s="21"/>
      <c r="E86" s="4"/>
      <c r="F86" s="4"/>
      <c r="G86" s="14"/>
      <c r="H86" s="48"/>
      <c r="I86" s="13"/>
      <c r="J86" s="10"/>
      <c r="K86" s="4"/>
    </row>
    <row r="87" spans="1:11">
      <c r="A87" s="78">
        <v>4.2</v>
      </c>
      <c r="B87" s="89" t="s">
        <v>268</v>
      </c>
      <c r="C87" s="13"/>
      <c r="D87" s="206"/>
      <c r="E87" s="4"/>
      <c r="F87" s="4"/>
      <c r="G87" s="13"/>
      <c r="H87" s="48"/>
      <c r="I87" s="13"/>
      <c r="J87" s="10"/>
      <c r="K87" s="4"/>
    </row>
    <row r="88" spans="1:11">
      <c r="A88" s="116"/>
      <c r="B88" s="103"/>
      <c r="C88" s="13"/>
      <c r="D88" s="75"/>
      <c r="E88" s="75"/>
      <c r="G88" s="75"/>
      <c r="H88" s="48"/>
      <c r="I88" s="13"/>
      <c r="J88" s="10"/>
      <c r="K88" s="4"/>
    </row>
    <row r="89" spans="1:11" ht="15.75">
      <c r="A89" s="118">
        <v>4.21</v>
      </c>
      <c r="B89" s="158" t="s">
        <v>156</v>
      </c>
      <c r="C89" s="13" t="s">
        <v>33</v>
      </c>
      <c r="D89" s="206"/>
      <c r="E89" s="4"/>
      <c r="F89" s="4"/>
      <c r="G89" s="13"/>
      <c r="H89" s="187" t="s">
        <v>103</v>
      </c>
      <c r="I89" s="13">
        <f>I83*2</f>
        <v>20.2</v>
      </c>
      <c r="J89" s="10"/>
      <c r="K89" s="4">
        <f>I89*J89</f>
        <v>0</v>
      </c>
    </row>
    <row r="90" spans="1:11">
      <c r="A90" s="81"/>
      <c r="B90" s="95"/>
      <c r="C90" s="74"/>
      <c r="D90" s="20"/>
      <c r="E90" s="4"/>
      <c r="F90" s="4"/>
      <c r="G90" s="13"/>
      <c r="H90" s="189"/>
      <c r="I90" s="83"/>
      <c r="J90" s="76"/>
      <c r="K90" s="77"/>
    </row>
    <row r="91" spans="1:11" s="92" customFormat="1" ht="15">
      <c r="A91" s="415" t="s">
        <v>85</v>
      </c>
      <c r="B91" s="416"/>
      <c r="C91" s="416"/>
      <c r="D91" s="416"/>
      <c r="E91" s="416"/>
      <c r="F91" s="416"/>
      <c r="G91" s="416"/>
      <c r="H91" s="416"/>
      <c r="I91" s="416"/>
      <c r="J91" s="417"/>
      <c r="K91" s="202">
        <f>SUM(K76:K90)</f>
        <v>0</v>
      </c>
    </row>
    <row r="92" spans="1:11" s="9" customFormat="1">
      <c r="A92" s="78"/>
      <c r="B92" s="79"/>
      <c r="C92" s="74"/>
      <c r="D92" s="75"/>
      <c r="E92" s="75"/>
      <c r="F92" s="75"/>
      <c r="G92" s="75"/>
      <c r="H92" s="96"/>
      <c r="I92" s="74"/>
      <c r="J92" s="76"/>
      <c r="K92" s="77"/>
    </row>
    <row r="93" spans="1:11">
      <c r="A93" s="116">
        <v>5</v>
      </c>
      <c r="B93" s="89" t="s">
        <v>12</v>
      </c>
      <c r="C93" s="52"/>
      <c r="D93" s="4"/>
      <c r="E93" s="4"/>
      <c r="F93" s="4"/>
      <c r="G93" s="13"/>
      <c r="H93" s="48"/>
      <c r="I93" s="13"/>
      <c r="J93" s="10"/>
      <c r="K93" s="4"/>
    </row>
    <row r="94" spans="1:11">
      <c r="A94" s="116"/>
      <c r="B94" s="105"/>
      <c r="C94" s="53"/>
      <c r="D94" s="5"/>
      <c r="E94" s="4"/>
      <c r="F94" s="4"/>
      <c r="G94" s="13"/>
      <c r="H94" s="48"/>
      <c r="I94" s="13"/>
      <c r="J94" s="10"/>
      <c r="K94" s="4"/>
    </row>
    <row r="95" spans="1:11">
      <c r="A95" s="116"/>
      <c r="B95" s="103" t="s">
        <v>74</v>
      </c>
      <c r="C95" s="53"/>
      <c r="D95" s="5"/>
      <c r="E95" s="4"/>
      <c r="F95" s="4"/>
      <c r="G95" s="13"/>
      <c r="H95" s="48"/>
      <c r="I95" s="13"/>
      <c r="J95" s="10"/>
      <c r="K95" s="4"/>
    </row>
    <row r="96" spans="1:11">
      <c r="A96" s="116"/>
      <c r="B96" s="103"/>
      <c r="C96" s="53"/>
      <c r="D96" s="5"/>
      <c r="E96" s="4"/>
      <c r="F96" s="4"/>
      <c r="G96" s="13"/>
      <c r="H96" s="48"/>
      <c r="I96" s="13"/>
      <c r="J96" s="10"/>
      <c r="K96" s="4"/>
    </row>
    <row r="97" spans="1:11">
      <c r="A97" s="78">
        <v>5.0999999999999996</v>
      </c>
      <c r="B97" s="89" t="s">
        <v>68</v>
      </c>
      <c r="C97" s="53"/>
      <c r="D97" s="5"/>
      <c r="E97" s="4"/>
      <c r="F97" s="4"/>
      <c r="G97" s="13"/>
      <c r="H97" s="48"/>
      <c r="I97" s="13"/>
      <c r="J97" s="10"/>
      <c r="K97" s="4"/>
    </row>
    <row r="98" spans="1:11">
      <c r="A98" s="116"/>
      <c r="B98" s="107"/>
      <c r="C98" s="53"/>
      <c r="D98" s="5"/>
      <c r="E98" s="4"/>
      <c r="F98" s="4"/>
      <c r="G98" s="13"/>
      <c r="H98" s="48"/>
      <c r="I98" s="13"/>
      <c r="J98" s="10"/>
      <c r="K98" s="4"/>
    </row>
    <row r="99" spans="1:11" ht="25.5">
      <c r="A99" s="118">
        <v>5.1100000000000003</v>
      </c>
      <c r="B99" s="159" t="s">
        <v>177</v>
      </c>
      <c r="C99" s="11" t="s">
        <v>3</v>
      </c>
      <c r="D99" s="191">
        <v>4</v>
      </c>
      <c r="E99" s="192"/>
      <c r="F99" s="4"/>
      <c r="G99" s="14"/>
      <c r="H99" s="48" t="s">
        <v>75</v>
      </c>
      <c r="I99" s="199">
        <f>D99*2</f>
        <v>8</v>
      </c>
      <c r="J99" s="170"/>
      <c r="K99" s="4">
        <f>I99*J99</f>
        <v>0</v>
      </c>
    </row>
    <row r="100" spans="1:11">
      <c r="A100" s="118"/>
      <c r="B100" s="108"/>
      <c r="C100" s="11"/>
      <c r="D100" s="191"/>
      <c r="E100" s="192"/>
      <c r="F100" s="4"/>
      <c r="G100" s="14"/>
      <c r="H100" s="48"/>
      <c r="I100" s="14"/>
      <c r="J100" s="14"/>
      <c r="K100" s="4"/>
    </row>
    <row r="101" spans="1:11">
      <c r="A101" s="118">
        <v>5.12</v>
      </c>
      <c r="B101" s="106" t="s">
        <v>178</v>
      </c>
      <c r="C101" s="160" t="s">
        <v>3</v>
      </c>
      <c r="D101" s="191">
        <v>2.5</v>
      </c>
      <c r="E101" s="192"/>
      <c r="F101" s="4"/>
      <c r="G101" s="14"/>
      <c r="H101" s="187"/>
      <c r="I101" s="199">
        <f>D101*2</f>
        <v>5</v>
      </c>
      <c r="J101" s="170"/>
      <c r="K101" s="4">
        <f>I101*J101</f>
        <v>0</v>
      </c>
    </row>
    <row r="102" spans="1:11">
      <c r="A102" s="118"/>
      <c r="B102" s="159"/>
      <c r="C102" s="11"/>
      <c r="D102" s="191"/>
      <c r="E102" s="192"/>
      <c r="F102" s="154"/>
      <c r="G102" s="161"/>
      <c r="H102" s="190"/>
      <c r="I102" s="161"/>
      <c r="J102" s="161"/>
      <c r="K102" s="154"/>
    </row>
    <row r="103" spans="1:11" s="92" customFormat="1" ht="15">
      <c r="A103" s="415" t="s">
        <v>86</v>
      </c>
      <c r="B103" s="416"/>
      <c r="C103" s="416"/>
      <c r="D103" s="416"/>
      <c r="E103" s="416"/>
      <c r="F103" s="416"/>
      <c r="G103" s="416"/>
      <c r="H103" s="416"/>
      <c r="I103" s="416"/>
      <c r="J103" s="417"/>
      <c r="K103" s="202">
        <f>SUM(K92:K102)</f>
        <v>0</v>
      </c>
    </row>
    <row r="104" spans="1:11" s="9" customFormat="1">
      <c r="A104" s="78"/>
      <c r="B104" s="79"/>
      <c r="C104" s="74" t="s">
        <v>50</v>
      </c>
      <c r="D104" s="75"/>
      <c r="E104" s="75"/>
      <c r="F104" s="75"/>
      <c r="G104" s="75"/>
      <c r="H104" s="96"/>
      <c r="I104" s="74"/>
      <c r="J104" s="76"/>
      <c r="K104" s="77"/>
    </row>
    <row r="105" spans="1:11">
      <c r="A105" s="116">
        <v>6</v>
      </c>
      <c r="B105" s="100" t="s">
        <v>90</v>
      </c>
      <c r="C105" s="13"/>
      <c r="D105" s="13"/>
      <c r="E105" s="13"/>
      <c r="F105" s="13"/>
      <c r="G105" s="13"/>
      <c r="H105" s="48"/>
      <c r="I105" s="13"/>
      <c r="J105" s="10"/>
      <c r="K105" s="4"/>
    </row>
    <row r="106" spans="1:11">
      <c r="A106" s="116"/>
      <c r="B106" s="104"/>
      <c r="C106" s="13"/>
      <c r="D106" s="13"/>
      <c r="E106" s="13"/>
      <c r="F106" s="13"/>
      <c r="G106" s="13"/>
      <c r="H106" s="48"/>
      <c r="I106" s="13"/>
      <c r="J106" s="10"/>
      <c r="K106" s="4"/>
    </row>
    <row r="107" spans="1:11">
      <c r="A107" s="116">
        <v>6.1</v>
      </c>
      <c r="B107" s="89" t="s">
        <v>141</v>
      </c>
      <c r="C107" s="13"/>
      <c r="D107" s="13"/>
      <c r="E107" s="13"/>
      <c r="F107" s="13"/>
      <c r="G107" s="13"/>
      <c r="H107" s="48"/>
      <c r="I107" s="13"/>
      <c r="J107" s="10"/>
      <c r="K107" s="4"/>
    </row>
    <row r="108" spans="1:11">
      <c r="A108" s="116"/>
      <c r="B108" s="147"/>
      <c r="C108" s="13"/>
      <c r="D108" s="13"/>
      <c r="E108" s="13"/>
      <c r="F108" s="13"/>
      <c r="G108" s="13"/>
      <c r="H108" s="48"/>
      <c r="I108" s="13"/>
      <c r="J108" s="10"/>
      <c r="K108" s="4"/>
    </row>
    <row r="109" spans="1:11" ht="54.75" customHeight="1">
      <c r="A109" s="118">
        <v>6.11</v>
      </c>
      <c r="B109" s="162" t="s">
        <v>217</v>
      </c>
      <c r="C109" s="13" t="s">
        <v>9</v>
      </c>
      <c r="D109" s="13"/>
      <c r="E109" s="13"/>
      <c r="F109" s="13"/>
      <c r="G109" s="13"/>
      <c r="H109" s="48"/>
      <c r="I109" s="13">
        <v>6</v>
      </c>
      <c r="J109" s="10"/>
      <c r="K109" s="4">
        <f>I109*J109</f>
        <v>0</v>
      </c>
    </row>
    <row r="110" spans="1:11">
      <c r="A110" s="116"/>
      <c r="B110" s="147"/>
      <c r="C110" s="13"/>
      <c r="D110" s="13"/>
      <c r="E110" s="13"/>
      <c r="F110" s="13"/>
      <c r="G110" s="13"/>
      <c r="H110" s="48"/>
      <c r="I110" s="13"/>
      <c r="J110" s="10"/>
      <c r="K110" s="4"/>
    </row>
    <row r="111" spans="1:11">
      <c r="A111" s="116">
        <v>6.2</v>
      </c>
      <c r="B111" s="89" t="s">
        <v>218</v>
      </c>
      <c r="C111" s="13"/>
      <c r="D111" s="13"/>
      <c r="E111" s="13"/>
      <c r="F111" s="13"/>
      <c r="G111" s="13"/>
      <c r="H111" s="48"/>
      <c r="I111" s="13"/>
      <c r="J111" s="10"/>
      <c r="K111" s="4"/>
    </row>
    <row r="112" spans="1:11">
      <c r="A112" s="116"/>
      <c r="B112" s="147"/>
      <c r="C112" s="13"/>
      <c r="D112" s="13"/>
      <c r="E112" s="13"/>
      <c r="F112" s="13"/>
      <c r="G112" s="13"/>
      <c r="H112" s="48"/>
      <c r="I112" s="13"/>
      <c r="J112" s="10"/>
      <c r="K112" s="4"/>
    </row>
    <row r="113" spans="1:11" ht="25.5">
      <c r="A113" s="118">
        <v>6.21</v>
      </c>
      <c r="B113" s="155" t="s">
        <v>219</v>
      </c>
      <c r="C113" s="13" t="s">
        <v>33</v>
      </c>
      <c r="D113" s="13">
        <f>D4</f>
        <v>3</v>
      </c>
      <c r="E113" s="13">
        <f>E4</f>
        <v>2.5</v>
      </c>
      <c r="F113" s="13">
        <v>1.4</v>
      </c>
      <c r="G113" s="13">
        <f>(2.5*0.6)*2</f>
        <v>3</v>
      </c>
      <c r="H113" s="187"/>
      <c r="I113" s="194">
        <f>(((D113*2)+(E113*2))*F113)+G113</f>
        <v>18.399999999999999</v>
      </c>
      <c r="J113" s="10"/>
      <c r="K113" s="4">
        <f>I113*J113</f>
        <v>0</v>
      </c>
    </row>
    <row r="114" spans="1:11">
      <c r="A114" s="152"/>
      <c r="B114" s="203"/>
      <c r="C114" s="13"/>
      <c r="D114" s="13"/>
      <c r="E114" s="13"/>
      <c r="F114" s="13"/>
      <c r="G114" s="13"/>
      <c r="H114" s="187"/>
      <c r="I114" s="187"/>
      <c r="J114" s="187"/>
      <c r="K114" s="187"/>
    </row>
    <row r="115" spans="1:11">
      <c r="A115" s="116">
        <v>6.3</v>
      </c>
      <c r="B115" s="89" t="s">
        <v>220</v>
      </c>
      <c r="C115" s="13"/>
      <c r="D115" s="13"/>
      <c r="E115" s="13"/>
      <c r="F115" s="13"/>
      <c r="G115" s="13"/>
      <c r="H115" s="187"/>
      <c r="I115" s="187"/>
      <c r="J115" s="187"/>
      <c r="K115" s="187"/>
    </row>
    <row r="116" spans="1:11">
      <c r="A116" s="168"/>
      <c r="B116" s="89"/>
      <c r="C116" s="13"/>
      <c r="D116" s="13"/>
      <c r="E116" s="13"/>
      <c r="F116" s="13"/>
      <c r="G116" s="13"/>
      <c r="H116" s="187"/>
      <c r="I116" s="187"/>
      <c r="J116" s="187"/>
      <c r="K116" s="187"/>
    </row>
    <row r="117" spans="1:11" ht="25.5">
      <c r="A117" s="118">
        <v>6.31</v>
      </c>
      <c r="B117" s="155" t="s">
        <v>221</v>
      </c>
      <c r="C117" s="13" t="s">
        <v>3</v>
      </c>
      <c r="D117" s="13">
        <v>5</v>
      </c>
      <c r="E117" s="13"/>
      <c r="F117" s="13"/>
      <c r="G117" s="13"/>
      <c r="H117" s="187"/>
      <c r="I117" s="151">
        <f>5*4</f>
        <v>20</v>
      </c>
      <c r="J117" s="10"/>
      <c r="K117" s="4">
        <f>I117*J117</f>
        <v>0</v>
      </c>
    </row>
    <row r="118" spans="1:11">
      <c r="A118" s="168"/>
      <c r="B118" s="203"/>
      <c r="C118" s="13"/>
      <c r="D118" s="13"/>
      <c r="E118" s="13"/>
      <c r="F118" s="13"/>
      <c r="G118" s="13"/>
      <c r="H118" s="187"/>
      <c r="I118" s="151"/>
      <c r="J118" s="187"/>
      <c r="K118" s="187"/>
    </row>
    <row r="119" spans="1:11">
      <c r="A119" s="116">
        <v>6.4</v>
      </c>
      <c r="B119" s="123" t="s">
        <v>185</v>
      </c>
      <c r="C119" s="13"/>
      <c r="D119" s="13"/>
      <c r="E119" s="13"/>
      <c r="F119" s="13"/>
      <c r="G119" s="13"/>
      <c r="H119" s="187"/>
      <c r="I119" s="187"/>
      <c r="J119" s="187"/>
      <c r="K119" s="187"/>
    </row>
    <row r="120" spans="1:11">
      <c r="A120" s="118"/>
      <c r="B120" s="123"/>
      <c r="C120" s="13"/>
      <c r="D120" s="13"/>
      <c r="E120" s="13"/>
      <c r="F120" s="13"/>
      <c r="G120" s="13"/>
      <c r="H120" s="187"/>
      <c r="I120" s="187"/>
      <c r="J120" s="187"/>
      <c r="K120" s="187"/>
    </row>
    <row r="121" spans="1:11" ht="54.75" customHeight="1">
      <c r="A121" s="152"/>
      <c r="B121" s="125" t="s">
        <v>184</v>
      </c>
      <c r="C121" s="13"/>
      <c r="D121" s="13"/>
      <c r="E121" s="13"/>
      <c r="F121" s="13"/>
      <c r="G121" s="13"/>
      <c r="H121" s="187"/>
      <c r="I121" s="187"/>
      <c r="J121" s="187"/>
      <c r="K121" s="187"/>
    </row>
    <row r="122" spans="1:11">
      <c r="A122" s="118"/>
      <c r="B122" s="123"/>
      <c r="C122" s="13"/>
      <c r="D122" s="13"/>
      <c r="E122" s="13"/>
      <c r="F122" s="13"/>
      <c r="G122" s="13"/>
      <c r="H122" s="187"/>
      <c r="I122" s="187"/>
      <c r="J122" s="187"/>
      <c r="K122" s="187"/>
    </row>
    <row r="123" spans="1:11">
      <c r="A123" s="122">
        <v>6.41</v>
      </c>
      <c r="B123" s="164" t="s">
        <v>106</v>
      </c>
      <c r="C123" s="13" t="s">
        <v>9</v>
      </c>
      <c r="D123" s="13"/>
      <c r="E123" s="13"/>
      <c r="F123" s="13"/>
      <c r="G123" s="13"/>
      <c r="H123" s="187"/>
      <c r="I123" s="151">
        <v>1</v>
      </c>
      <c r="J123" s="10"/>
      <c r="K123" s="4">
        <f>I123*J123</f>
        <v>0</v>
      </c>
    </row>
    <row r="124" spans="1:11">
      <c r="A124" s="81"/>
      <c r="B124" s="95"/>
      <c r="C124" s="74"/>
      <c r="D124" s="84"/>
      <c r="E124" s="84"/>
      <c r="F124" s="84"/>
      <c r="G124" s="84"/>
      <c r="H124" s="189"/>
      <c r="I124" s="83"/>
      <c r="J124" s="76"/>
      <c r="K124" s="77"/>
    </row>
    <row r="125" spans="1:11" s="92" customFormat="1" ht="15">
      <c r="A125" s="415" t="s">
        <v>87</v>
      </c>
      <c r="B125" s="416"/>
      <c r="C125" s="416"/>
      <c r="D125" s="416"/>
      <c r="E125" s="416"/>
      <c r="F125" s="416"/>
      <c r="G125" s="416"/>
      <c r="H125" s="416"/>
      <c r="I125" s="416"/>
      <c r="J125" s="417"/>
      <c r="K125" s="202">
        <f>SUM(K104:K124)</f>
        <v>0</v>
      </c>
    </row>
    <row r="126" spans="1:11" s="9" customFormat="1">
      <c r="A126" s="78"/>
      <c r="B126" s="79"/>
      <c r="C126" s="74"/>
      <c r="D126" s="75"/>
      <c r="E126" s="75"/>
      <c r="F126" s="75"/>
      <c r="G126" s="75"/>
      <c r="H126" s="96"/>
      <c r="I126" s="74"/>
      <c r="J126" s="76"/>
      <c r="K126" s="77"/>
    </row>
    <row r="127" spans="1:11" ht="18" customHeight="1">
      <c r="A127" s="116">
        <v>7</v>
      </c>
      <c r="B127" s="105" t="s">
        <v>73</v>
      </c>
      <c r="C127" s="13"/>
      <c r="D127" s="14"/>
      <c r="E127" s="14"/>
      <c r="F127" s="14"/>
      <c r="G127" s="14"/>
      <c r="H127" s="48"/>
      <c r="I127" s="14"/>
      <c r="J127" s="111"/>
      <c r="K127" s="4"/>
    </row>
    <row r="128" spans="1:11" ht="18" customHeight="1">
      <c r="A128" s="116"/>
      <c r="B128" s="105"/>
      <c r="C128" s="13"/>
      <c r="D128" s="14"/>
      <c r="E128" s="14"/>
      <c r="F128" s="14"/>
      <c r="G128" s="14"/>
      <c r="H128" s="48"/>
      <c r="I128" s="14"/>
      <c r="J128" s="111"/>
      <c r="K128" s="4"/>
    </row>
    <row r="129" spans="1:11" ht="18" customHeight="1">
      <c r="A129" s="116">
        <v>7.1</v>
      </c>
      <c r="B129" s="97" t="s">
        <v>72</v>
      </c>
      <c r="C129" s="13"/>
      <c r="D129" s="14"/>
      <c r="E129" s="14"/>
      <c r="F129" s="14"/>
      <c r="G129" s="14"/>
      <c r="H129" s="48"/>
      <c r="I129" s="14"/>
      <c r="J129" s="111"/>
      <c r="K129" s="4"/>
    </row>
    <row r="130" spans="1:11">
      <c r="A130" s="116"/>
      <c r="B130" s="105"/>
      <c r="C130" s="13"/>
      <c r="D130" s="14"/>
      <c r="E130" s="14"/>
      <c r="F130" s="14"/>
      <c r="G130" s="14"/>
      <c r="H130" s="48"/>
      <c r="I130" s="14"/>
      <c r="J130" s="111"/>
      <c r="K130" s="4"/>
    </row>
    <row r="131" spans="1:11" ht="38.25">
      <c r="A131" s="118">
        <v>7.11</v>
      </c>
      <c r="B131" s="3" t="s">
        <v>186</v>
      </c>
      <c r="C131" s="13" t="s">
        <v>33</v>
      </c>
      <c r="D131" s="14">
        <f>2.2*2</f>
        <v>4.4000000000000004</v>
      </c>
      <c r="E131" s="14">
        <v>3</v>
      </c>
      <c r="F131" s="14"/>
      <c r="G131" s="14"/>
      <c r="H131" s="187"/>
      <c r="I131" s="200">
        <f>D131*E131</f>
        <v>13.200000000000001</v>
      </c>
      <c r="J131" s="10"/>
      <c r="K131" s="4">
        <f>I131*J131</f>
        <v>0</v>
      </c>
    </row>
    <row r="132" spans="1:11">
      <c r="A132" s="152"/>
      <c r="B132" s="155"/>
      <c r="C132" s="54"/>
      <c r="D132" s="161"/>
      <c r="E132" s="161"/>
      <c r="F132" s="161"/>
      <c r="G132" s="161"/>
      <c r="H132" s="190"/>
      <c r="I132" s="54"/>
      <c r="J132" s="153"/>
      <c r="K132" s="154"/>
    </row>
    <row r="133" spans="1:11">
      <c r="A133" s="116">
        <v>7.2</v>
      </c>
      <c r="B133" s="97" t="s">
        <v>71</v>
      </c>
      <c r="C133" s="22"/>
      <c r="D133" s="204"/>
      <c r="E133" s="204"/>
      <c r="F133" s="204"/>
      <c r="G133" s="204"/>
      <c r="H133" s="205"/>
      <c r="I133" s="22"/>
      <c r="J133" s="10"/>
      <c r="K133" s="4"/>
    </row>
    <row r="134" spans="1:11">
      <c r="A134" s="118"/>
      <c r="B134" s="203"/>
      <c r="C134" s="22"/>
      <c r="D134" s="204"/>
      <c r="E134" s="204"/>
      <c r="F134" s="204"/>
      <c r="G134" s="204"/>
      <c r="H134" s="205"/>
      <c r="I134" s="22"/>
      <c r="J134" s="10"/>
      <c r="K134" s="4"/>
    </row>
    <row r="135" spans="1:11" ht="56.25" customHeight="1">
      <c r="A135" s="122"/>
      <c r="B135" s="167" t="s">
        <v>223</v>
      </c>
      <c r="C135" s="22"/>
      <c r="D135" s="22"/>
      <c r="E135" s="22"/>
      <c r="F135" s="22"/>
      <c r="G135" s="22"/>
      <c r="H135" s="22"/>
      <c r="I135" s="22"/>
      <c r="J135" s="22"/>
      <c r="K135" s="4"/>
    </row>
    <row r="136" spans="1:11">
      <c r="A136" s="118"/>
      <c r="B136" s="207"/>
      <c r="C136" s="22"/>
      <c r="D136" s="22"/>
      <c r="E136" s="22"/>
      <c r="F136" s="22"/>
      <c r="G136" s="22"/>
      <c r="H136" s="22"/>
      <c r="I136" s="22"/>
      <c r="J136" s="22"/>
      <c r="K136" s="4"/>
    </row>
    <row r="137" spans="1:11" ht="38.25">
      <c r="A137" s="118">
        <v>7.21</v>
      </c>
      <c r="B137" s="125" t="s">
        <v>222</v>
      </c>
      <c r="C137" s="22" t="s">
        <v>9</v>
      </c>
      <c r="D137" s="204"/>
      <c r="E137" s="204"/>
      <c r="F137" s="204"/>
      <c r="G137" s="204"/>
      <c r="H137" s="205"/>
      <c r="I137" s="22">
        <v>3</v>
      </c>
      <c r="J137" s="10"/>
      <c r="K137" s="4">
        <f>I137*J137</f>
        <v>0</v>
      </c>
    </row>
    <row r="138" spans="1:11">
      <c r="A138" s="118"/>
      <c r="B138" s="127"/>
      <c r="C138" s="22"/>
      <c r="D138" s="204"/>
      <c r="E138" s="204"/>
      <c r="F138" s="204"/>
      <c r="G138" s="204"/>
      <c r="H138" s="205"/>
      <c r="I138" s="22"/>
      <c r="J138" s="10"/>
      <c r="K138" s="4"/>
    </row>
    <row r="139" spans="1:11" ht="38.25">
      <c r="A139" s="118"/>
      <c r="B139" s="3" t="s">
        <v>189</v>
      </c>
      <c r="C139" s="22"/>
      <c r="D139" s="22"/>
      <c r="E139" s="22"/>
      <c r="F139" s="22"/>
      <c r="G139" s="22"/>
      <c r="H139" s="22"/>
      <c r="I139" s="22"/>
      <c r="J139" s="22"/>
      <c r="K139" s="4"/>
    </row>
    <row r="140" spans="1:11">
      <c r="A140" s="152"/>
      <c r="B140" s="208"/>
      <c r="C140" s="22"/>
      <c r="D140" s="22"/>
      <c r="E140" s="22"/>
      <c r="F140" s="22"/>
      <c r="G140" s="22"/>
      <c r="H140" s="22"/>
      <c r="I140" s="22"/>
      <c r="J140" s="22"/>
      <c r="K140" s="4"/>
    </row>
    <row r="141" spans="1:11">
      <c r="A141" s="122">
        <v>7.22</v>
      </c>
      <c r="B141" s="164" t="s">
        <v>190</v>
      </c>
      <c r="C141" s="22" t="s">
        <v>3</v>
      </c>
      <c r="D141" s="22">
        <v>6</v>
      </c>
      <c r="E141" s="22">
        <v>4</v>
      </c>
      <c r="F141" s="22"/>
      <c r="G141" s="22"/>
      <c r="H141" s="22" t="s">
        <v>224</v>
      </c>
      <c r="I141" s="22">
        <f>D141*E141</f>
        <v>24</v>
      </c>
      <c r="J141" s="10"/>
      <c r="K141" s="4">
        <f>I141*J141</f>
        <v>0</v>
      </c>
    </row>
    <row r="142" spans="1:11">
      <c r="A142" s="196"/>
      <c r="B142" s="125"/>
      <c r="C142" s="22"/>
      <c r="D142" s="22"/>
      <c r="E142" s="22"/>
      <c r="F142" s="22"/>
      <c r="G142" s="22"/>
      <c r="H142" s="22"/>
      <c r="I142" s="22"/>
      <c r="J142" s="22"/>
      <c r="K142" s="4"/>
    </row>
    <row r="143" spans="1:11" ht="25.5">
      <c r="A143" s="152">
        <v>7.23</v>
      </c>
      <c r="B143" s="164" t="s">
        <v>191</v>
      </c>
      <c r="C143" s="22" t="s">
        <v>3</v>
      </c>
      <c r="D143" s="22"/>
      <c r="E143" s="22"/>
      <c r="F143" s="22"/>
      <c r="G143" s="22"/>
      <c r="H143" s="22"/>
      <c r="I143" s="22">
        <f>D4*E4</f>
        <v>7.5</v>
      </c>
      <c r="J143" s="10"/>
      <c r="K143" s="4">
        <f>I143*J143</f>
        <v>0</v>
      </c>
    </row>
    <row r="144" spans="1:11">
      <c r="A144" s="196"/>
      <c r="B144" s="125"/>
      <c r="C144" s="22"/>
      <c r="D144" s="22"/>
      <c r="E144" s="22"/>
      <c r="F144" s="22"/>
      <c r="G144" s="22"/>
      <c r="H144" s="22"/>
      <c r="I144" s="22"/>
      <c r="J144" s="22"/>
      <c r="K144" s="4"/>
    </row>
    <row r="145" spans="1:11">
      <c r="A145" s="118">
        <v>7.24</v>
      </c>
      <c r="B145" s="164" t="s">
        <v>125</v>
      </c>
      <c r="C145" s="22" t="s">
        <v>3</v>
      </c>
      <c r="D145" s="22">
        <v>4</v>
      </c>
      <c r="E145" s="22">
        <v>2.2000000000000002</v>
      </c>
      <c r="F145" s="22"/>
      <c r="G145" s="22"/>
      <c r="H145" s="22"/>
      <c r="I145" s="22">
        <f>(D145*2)+(E145*4)</f>
        <v>16.8</v>
      </c>
      <c r="J145" s="22"/>
      <c r="K145" s="4">
        <f>I145*J145</f>
        <v>0</v>
      </c>
    </row>
    <row r="146" spans="1:11">
      <c r="A146" s="81"/>
      <c r="B146" s="95"/>
      <c r="C146" s="74"/>
      <c r="D146" s="84"/>
      <c r="E146" s="84"/>
      <c r="F146" s="84"/>
      <c r="G146" s="84"/>
      <c r="H146" s="189"/>
      <c r="I146" s="83"/>
      <c r="J146" s="76"/>
      <c r="K146" s="77"/>
    </row>
    <row r="147" spans="1:11" s="92" customFormat="1" ht="15">
      <c r="A147" s="415" t="s">
        <v>110</v>
      </c>
      <c r="B147" s="416"/>
      <c r="C147" s="416"/>
      <c r="D147" s="416"/>
      <c r="E147" s="416"/>
      <c r="F147" s="416"/>
      <c r="G147" s="416"/>
      <c r="H147" s="416"/>
      <c r="I147" s="416"/>
      <c r="J147" s="417"/>
      <c r="K147" s="202">
        <f>SUM(K126:K146)</f>
        <v>0</v>
      </c>
    </row>
    <row r="148" spans="1:11">
      <c r="A148" s="196"/>
      <c r="B148" s="124"/>
      <c r="C148" s="13"/>
      <c r="D148" s="13"/>
      <c r="E148" s="13"/>
      <c r="F148" s="13"/>
      <c r="G148" s="13"/>
      <c r="H148" s="13"/>
      <c r="I148" s="13"/>
      <c r="J148" s="10"/>
      <c r="K148" s="4"/>
    </row>
    <row r="149" spans="1:11">
      <c r="A149" s="116">
        <v>8</v>
      </c>
      <c r="B149" s="123" t="s">
        <v>58</v>
      </c>
      <c r="C149" s="22"/>
      <c r="D149" s="22"/>
      <c r="E149" s="22"/>
      <c r="F149" s="22"/>
      <c r="G149" s="22"/>
      <c r="H149" s="22"/>
      <c r="I149" s="22"/>
      <c r="J149" s="22"/>
      <c r="K149" s="4"/>
    </row>
    <row r="150" spans="1:11">
      <c r="A150" s="152"/>
      <c r="B150" s="125"/>
      <c r="C150" s="22"/>
      <c r="D150" s="22"/>
      <c r="E150" s="22"/>
      <c r="F150" s="22"/>
      <c r="G150" s="22"/>
      <c r="H150" s="22"/>
      <c r="I150" s="22"/>
      <c r="J150" s="22"/>
      <c r="K150" s="4"/>
    </row>
    <row r="151" spans="1:11">
      <c r="A151" s="116">
        <v>8.1</v>
      </c>
      <c r="B151" s="123" t="s">
        <v>130</v>
      </c>
      <c r="C151" s="22"/>
      <c r="D151" s="22"/>
      <c r="E151" s="22"/>
      <c r="F151" s="22"/>
      <c r="G151" s="22"/>
      <c r="H151" s="22"/>
      <c r="I151" s="22"/>
      <c r="J151" s="22"/>
      <c r="K151" s="4"/>
    </row>
    <row r="152" spans="1:11">
      <c r="A152" s="168"/>
      <c r="B152" s="123"/>
      <c r="C152" s="22"/>
      <c r="D152" s="22"/>
      <c r="E152" s="22"/>
      <c r="F152" s="22"/>
      <c r="G152" s="22"/>
      <c r="H152" s="22"/>
      <c r="I152" s="22"/>
      <c r="J152" s="22"/>
      <c r="K152" s="4"/>
    </row>
    <row r="153" spans="1:11">
      <c r="A153" s="152"/>
      <c r="B153" s="125" t="s">
        <v>129</v>
      </c>
      <c r="C153" s="22"/>
      <c r="D153" s="22"/>
      <c r="E153" s="22"/>
      <c r="F153" s="22"/>
      <c r="G153" s="22"/>
      <c r="H153" s="22"/>
      <c r="I153" s="22"/>
      <c r="J153" s="22"/>
      <c r="K153" s="4"/>
    </row>
    <row r="154" spans="1:11">
      <c r="A154" s="196"/>
      <c r="B154" s="123"/>
      <c r="C154" s="22"/>
      <c r="D154" s="22"/>
      <c r="E154" s="22"/>
      <c r="F154" s="22"/>
      <c r="G154" s="22"/>
      <c r="H154" s="22"/>
      <c r="I154" s="22"/>
      <c r="J154" s="22"/>
      <c r="K154" s="4"/>
    </row>
    <row r="155" spans="1:11" ht="15.75">
      <c r="A155" s="118">
        <v>8.11</v>
      </c>
      <c r="B155" s="164" t="s">
        <v>57</v>
      </c>
      <c r="C155" s="22" t="s">
        <v>33</v>
      </c>
      <c r="D155" s="64"/>
      <c r="E155" s="22"/>
      <c r="F155" s="64"/>
      <c r="G155" s="22"/>
      <c r="H155" s="22"/>
      <c r="I155" s="166">
        <f>I145*0.2</f>
        <v>3.3600000000000003</v>
      </c>
      <c r="J155" s="10"/>
      <c r="K155" s="4">
        <f>I155*J155</f>
        <v>0</v>
      </c>
    </row>
    <row r="156" spans="1:11">
      <c r="A156" s="152"/>
      <c r="B156" s="125"/>
      <c r="C156" s="22"/>
      <c r="D156" s="22"/>
      <c r="E156" s="22"/>
      <c r="F156" s="22"/>
      <c r="G156" s="22"/>
      <c r="H156" s="22"/>
      <c r="I156" s="22"/>
      <c r="J156" s="22"/>
      <c r="K156" s="4"/>
    </row>
    <row r="157" spans="1:11">
      <c r="A157" s="118">
        <v>8.1199999999999992</v>
      </c>
      <c r="B157" s="125" t="s">
        <v>199</v>
      </c>
      <c r="C157" s="22" t="s">
        <v>180</v>
      </c>
      <c r="D157" s="22"/>
      <c r="E157" s="22"/>
      <c r="F157" s="22"/>
      <c r="G157" s="22"/>
      <c r="H157" s="22"/>
      <c r="I157" s="22" t="s">
        <v>104</v>
      </c>
      <c r="J157" s="10"/>
      <c r="K157" s="4">
        <f>J157</f>
        <v>0</v>
      </c>
    </row>
    <row r="158" spans="1:11">
      <c r="A158" s="152"/>
      <c r="B158" s="125"/>
      <c r="C158" s="54"/>
      <c r="D158" s="54"/>
      <c r="E158" s="54"/>
      <c r="F158" s="54"/>
      <c r="G158" s="54"/>
      <c r="H158" s="54"/>
      <c r="I158" s="54"/>
      <c r="J158" s="153"/>
      <c r="K158" s="154"/>
    </row>
    <row r="159" spans="1:11">
      <c r="A159" s="118">
        <v>8.1300000000000008</v>
      </c>
      <c r="B159" s="125" t="s">
        <v>225</v>
      </c>
      <c r="C159" s="22" t="s">
        <v>180</v>
      </c>
      <c r="D159" s="54"/>
      <c r="E159" s="54"/>
      <c r="F159" s="54"/>
      <c r="G159" s="54"/>
      <c r="H159" s="54"/>
      <c r="I159" s="54" t="s">
        <v>104</v>
      </c>
      <c r="J159" s="153"/>
      <c r="K159" s="4">
        <f>J159</f>
        <v>0</v>
      </c>
    </row>
    <row r="160" spans="1:11">
      <c r="A160" s="152"/>
      <c r="B160" s="164"/>
      <c r="C160" s="74"/>
      <c r="D160" s="75"/>
      <c r="E160" s="75"/>
      <c r="F160" s="75"/>
      <c r="G160" s="75"/>
      <c r="H160" s="75"/>
      <c r="I160" s="74"/>
      <c r="J160" s="76"/>
      <c r="K160" s="77"/>
    </row>
    <row r="161" spans="1:11" s="92" customFormat="1" ht="15">
      <c r="A161" s="415" t="s">
        <v>89</v>
      </c>
      <c r="B161" s="416"/>
      <c r="C161" s="416"/>
      <c r="D161" s="416"/>
      <c r="E161" s="416"/>
      <c r="F161" s="416"/>
      <c r="G161" s="416"/>
      <c r="H161" s="416"/>
      <c r="I161" s="416"/>
      <c r="J161" s="417"/>
      <c r="K161" s="202">
        <f>SUM(K148:K160)</f>
        <v>0</v>
      </c>
    </row>
    <row r="162" spans="1:11" s="92" customFormat="1" ht="15">
      <c r="A162" s="196"/>
      <c r="B162" s="164"/>
      <c r="C162" s="13"/>
      <c r="D162" s="13"/>
      <c r="E162" s="13"/>
      <c r="F162" s="13"/>
      <c r="G162" s="13"/>
      <c r="H162" s="13"/>
      <c r="I162" s="13"/>
      <c r="J162" s="10"/>
      <c r="K162" s="4"/>
    </row>
    <row r="163" spans="1:11" s="92" customFormat="1" ht="15">
      <c r="A163" s="116">
        <v>9</v>
      </c>
      <c r="B163" s="123" t="s">
        <v>206</v>
      </c>
      <c r="C163" s="22"/>
      <c r="D163" s="22"/>
      <c r="E163" s="22"/>
      <c r="F163" s="22"/>
      <c r="G163" s="22"/>
      <c r="H163" s="22"/>
      <c r="I163" s="22"/>
      <c r="J163" s="22"/>
      <c r="K163" s="4"/>
    </row>
    <row r="164" spans="1:11" s="92" customFormat="1" ht="15">
      <c r="A164" s="196"/>
      <c r="B164" s="164"/>
      <c r="C164" s="22"/>
      <c r="D164" s="22"/>
      <c r="E164" s="22"/>
      <c r="F164" s="22"/>
      <c r="G164" s="22"/>
      <c r="H164" s="22"/>
      <c r="I164" s="22"/>
      <c r="J164" s="184"/>
      <c r="K164" s="4"/>
    </row>
    <row r="165" spans="1:11" s="92" customFormat="1" ht="38.25">
      <c r="A165" s="152">
        <v>9.1</v>
      </c>
      <c r="B165" s="164" t="s">
        <v>228</v>
      </c>
      <c r="C165" s="22" t="s">
        <v>33</v>
      </c>
      <c r="D165" s="22"/>
      <c r="E165" s="22"/>
      <c r="F165" s="22"/>
      <c r="G165" s="22"/>
      <c r="H165" s="22"/>
      <c r="I165" s="22">
        <v>1.8</v>
      </c>
      <c r="J165" s="10"/>
      <c r="K165" s="4">
        <f>I165*J165</f>
        <v>0</v>
      </c>
    </row>
    <row r="166" spans="1:11">
      <c r="A166" s="78"/>
      <c r="B166" s="79"/>
      <c r="C166" s="74"/>
      <c r="D166" s="75"/>
      <c r="E166" s="75"/>
      <c r="F166" s="75"/>
      <c r="G166" s="75"/>
      <c r="H166" s="75"/>
      <c r="I166" s="74"/>
      <c r="J166" s="76"/>
      <c r="K166" s="77"/>
    </row>
    <row r="167" spans="1:11" s="92" customFormat="1" ht="15">
      <c r="A167" s="415" t="s">
        <v>260</v>
      </c>
      <c r="B167" s="416"/>
      <c r="C167" s="416"/>
      <c r="D167" s="416"/>
      <c r="E167" s="416"/>
      <c r="F167" s="416"/>
      <c r="G167" s="416"/>
      <c r="H167" s="416"/>
      <c r="I167" s="416"/>
      <c r="J167" s="417"/>
      <c r="K167" s="202">
        <f>SUM(K162:K165)</f>
        <v>0</v>
      </c>
    </row>
    <row r="168" spans="1:11" s="9" customFormat="1" ht="15" customHeight="1">
      <c r="A168" s="403"/>
      <c r="B168" s="404"/>
      <c r="C168" s="404"/>
      <c r="D168" s="404"/>
      <c r="E168" s="404"/>
      <c r="F168" s="404"/>
      <c r="G168" s="404"/>
      <c r="H168" s="404"/>
      <c r="I168" s="404"/>
      <c r="J168" s="404"/>
      <c r="K168" s="405"/>
    </row>
    <row r="169" spans="1:11" ht="14.25" customHeight="1">
      <c r="A169" s="406" t="s">
        <v>88</v>
      </c>
      <c r="B169" s="406"/>
      <c r="C169" s="406"/>
      <c r="D169" s="406"/>
      <c r="E169" s="406"/>
      <c r="F169" s="406"/>
      <c r="G169" s="406"/>
      <c r="H169" s="406"/>
      <c r="I169" s="406"/>
      <c r="J169" s="406"/>
      <c r="K169" s="202">
        <f>K31+K69+K75+K91+K103+K125+K147+K161+K167</f>
        <v>0</v>
      </c>
    </row>
    <row r="170" spans="1:11" s="9" customFormat="1" ht="54.75" customHeight="1">
      <c r="A170" s="402" t="s">
        <v>163</v>
      </c>
      <c r="B170" s="402"/>
      <c r="C170" s="402"/>
      <c r="D170" s="402"/>
      <c r="E170" s="402"/>
      <c r="F170" s="402"/>
      <c r="G170" s="402"/>
      <c r="H170" s="402"/>
      <c r="I170" s="402"/>
      <c r="J170" s="402"/>
      <c r="K170" s="402"/>
    </row>
    <row r="171" spans="1:11">
      <c r="B171" s="109"/>
    </row>
  </sheetData>
  <mergeCells count="15">
    <mergeCell ref="A1:I1"/>
    <mergeCell ref="A2:K2"/>
    <mergeCell ref="D3:H3"/>
    <mergeCell ref="A31:J31"/>
    <mergeCell ref="A69:J69"/>
    <mergeCell ref="A169:J169"/>
    <mergeCell ref="A170:K170"/>
    <mergeCell ref="A75:J75"/>
    <mergeCell ref="A167:J167"/>
    <mergeCell ref="A103:J103"/>
    <mergeCell ref="A125:J125"/>
    <mergeCell ref="A147:J147"/>
    <mergeCell ref="A161:J161"/>
    <mergeCell ref="A168:K168"/>
    <mergeCell ref="A91:J91"/>
  </mergeCells>
  <pageMargins left="0.7" right="0.7" top="0.75" bottom="0.75" header="0.3" footer="0.3"/>
  <pageSetup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zoomScaleNormal="100" zoomScaleSheetLayoutView="100" workbookViewId="0">
      <selection sqref="A1:I1"/>
    </sheetView>
  </sheetViews>
  <sheetFormatPr defaultColWidth="11.42578125" defaultRowHeight="15"/>
  <cols>
    <col min="1" max="1" width="9.28515625" style="371" customWidth="1"/>
    <col min="2" max="2" width="64.7109375" style="185" customWidth="1"/>
    <col min="3" max="3" width="9.7109375" style="278" customWidth="1"/>
    <col min="4" max="7" width="10.7109375" style="181" hidden="1" customWidth="1"/>
    <col min="8" max="8" width="23.140625" style="181" hidden="1" customWidth="1"/>
    <col min="9" max="9" width="10.7109375" style="278" customWidth="1"/>
    <col min="10" max="10" width="14.7109375" style="372" customWidth="1"/>
    <col min="11" max="11" width="15.5703125" style="373" bestFit="1" customWidth="1"/>
    <col min="12" max="16384" width="11.42578125" style="185"/>
  </cols>
  <sheetData>
    <row r="1" spans="1:11" ht="48.75" customHeight="1">
      <c r="A1" s="418" t="s">
        <v>80</v>
      </c>
      <c r="B1" s="419"/>
      <c r="C1" s="419"/>
      <c r="D1" s="419"/>
      <c r="E1" s="419"/>
      <c r="F1" s="419"/>
      <c r="G1" s="419"/>
      <c r="H1" s="419"/>
      <c r="I1" s="419"/>
      <c r="J1" s="302"/>
      <c r="K1" s="242"/>
    </row>
    <row r="2" spans="1:11" ht="14.25" customHeight="1">
      <c r="A2" s="431" t="s">
        <v>385</v>
      </c>
      <c r="B2" s="431"/>
      <c r="C2" s="431"/>
      <c r="D2" s="431"/>
      <c r="E2" s="431"/>
      <c r="F2" s="431"/>
      <c r="G2" s="431"/>
      <c r="H2" s="431"/>
      <c r="I2" s="431"/>
      <c r="J2" s="431"/>
      <c r="K2" s="431"/>
    </row>
    <row r="3" spans="1:11" ht="14.25" customHeight="1">
      <c r="A3" s="243" t="s">
        <v>0</v>
      </c>
      <c r="B3" s="244" t="s">
        <v>1</v>
      </c>
      <c r="C3" s="245" t="s">
        <v>2</v>
      </c>
      <c r="D3" s="443" t="s">
        <v>29</v>
      </c>
      <c r="E3" s="443"/>
      <c r="F3" s="443"/>
      <c r="G3" s="443"/>
      <c r="H3" s="443"/>
      <c r="I3" s="245" t="s">
        <v>79</v>
      </c>
      <c r="J3" s="245" t="s">
        <v>4</v>
      </c>
      <c r="K3" s="245" t="s">
        <v>5</v>
      </c>
    </row>
    <row r="4" spans="1:11" ht="14.25">
      <c r="A4" s="312"/>
      <c r="B4" s="126"/>
      <c r="C4" s="313"/>
      <c r="D4" s="314">
        <v>4.6500000000000004</v>
      </c>
      <c r="E4" s="314">
        <v>4</v>
      </c>
      <c r="F4" s="314">
        <v>3.7</v>
      </c>
      <c r="G4" s="313"/>
      <c r="H4" s="313"/>
      <c r="I4" s="313"/>
      <c r="J4" s="170"/>
      <c r="K4" s="220"/>
    </row>
    <row r="5" spans="1:11" ht="14.25">
      <c r="A5" s="315">
        <v>1</v>
      </c>
      <c r="B5" s="316" t="s">
        <v>7</v>
      </c>
      <c r="C5" s="313"/>
      <c r="D5" s="313"/>
      <c r="E5" s="313"/>
      <c r="F5" s="313"/>
      <c r="G5" s="313"/>
      <c r="H5" s="313"/>
      <c r="I5" s="313"/>
      <c r="J5" s="170"/>
      <c r="K5" s="220"/>
    </row>
    <row r="6" spans="1:11" ht="14.25">
      <c r="A6" s="312"/>
      <c r="B6" s="126"/>
      <c r="C6" s="313"/>
      <c r="D6" s="313"/>
      <c r="E6" s="313"/>
      <c r="F6" s="313"/>
      <c r="G6" s="313"/>
      <c r="H6" s="313"/>
      <c r="I6" s="313"/>
      <c r="J6" s="170"/>
      <c r="K6" s="220"/>
    </row>
    <row r="7" spans="1:11" ht="38.25">
      <c r="A7" s="216"/>
      <c r="B7" s="217" t="s">
        <v>117</v>
      </c>
      <c r="C7" s="218"/>
      <c r="D7" s="218"/>
      <c r="E7" s="218"/>
      <c r="F7" s="218"/>
      <c r="G7" s="218"/>
      <c r="H7" s="218"/>
      <c r="I7" s="218"/>
      <c r="J7" s="218"/>
      <c r="K7" s="220"/>
    </row>
    <row r="8" spans="1:11" ht="14.25">
      <c r="A8" s="216"/>
      <c r="B8" s="217"/>
      <c r="C8" s="218"/>
      <c r="D8" s="218"/>
      <c r="E8" s="218"/>
      <c r="F8" s="218"/>
      <c r="G8" s="218"/>
      <c r="H8" s="218"/>
      <c r="I8" s="218"/>
      <c r="J8" s="218"/>
      <c r="K8" s="220"/>
    </row>
    <row r="9" spans="1:11" s="318" customFormat="1" ht="12.75">
      <c r="A9" s="317">
        <v>1.1000000000000001</v>
      </c>
      <c r="B9" s="316" t="s">
        <v>133</v>
      </c>
      <c r="C9" s="313"/>
      <c r="D9" s="313"/>
      <c r="E9" s="313"/>
      <c r="F9" s="313"/>
      <c r="G9" s="313"/>
      <c r="H9" s="313"/>
      <c r="I9" s="313"/>
      <c r="J9" s="170"/>
      <c r="K9" s="220"/>
    </row>
    <row r="10" spans="1:11" s="318" customFormat="1" ht="12.75">
      <c r="A10" s="312"/>
      <c r="B10" s="164"/>
      <c r="C10" s="313"/>
      <c r="D10" s="313"/>
      <c r="E10" s="313"/>
      <c r="F10" s="313"/>
      <c r="G10" s="313"/>
      <c r="H10" s="313"/>
      <c r="I10" s="313"/>
      <c r="J10" s="170"/>
      <c r="K10" s="220"/>
    </row>
    <row r="11" spans="1:11" ht="25.5">
      <c r="A11" s="216">
        <v>1.1100000000000001</v>
      </c>
      <c r="B11" s="217" t="s">
        <v>360</v>
      </c>
      <c r="C11" s="218" t="s">
        <v>33</v>
      </c>
      <c r="D11" s="313">
        <f>D4+0.4</f>
        <v>5.0500000000000007</v>
      </c>
      <c r="E11" s="313">
        <f>E4+0.4</f>
        <v>4.4000000000000004</v>
      </c>
      <c r="F11" s="313"/>
      <c r="G11" s="313"/>
      <c r="H11" s="313"/>
      <c r="I11" s="319">
        <f>D11*E11</f>
        <v>22.220000000000006</v>
      </c>
      <c r="J11" s="170"/>
      <c r="K11" s="220">
        <f>I11*J11</f>
        <v>0</v>
      </c>
    </row>
    <row r="12" spans="1:11" s="318" customFormat="1" ht="12.75">
      <c r="A12" s="312"/>
      <c r="B12" s="126"/>
      <c r="C12" s="313"/>
      <c r="D12" s="313"/>
      <c r="E12" s="313"/>
      <c r="F12" s="313"/>
      <c r="G12" s="313"/>
      <c r="H12" s="313"/>
      <c r="I12" s="313"/>
      <c r="J12" s="170"/>
      <c r="K12" s="220"/>
    </row>
    <row r="13" spans="1:11" s="318" customFormat="1" ht="12.75">
      <c r="A13" s="317">
        <v>1.2</v>
      </c>
      <c r="B13" s="316" t="s">
        <v>134</v>
      </c>
      <c r="C13" s="313"/>
      <c r="D13" s="313"/>
      <c r="E13" s="313"/>
      <c r="F13" s="313"/>
      <c r="G13" s="313"/>
      <c r="H13" s="313"/>
      <c r="I13" s="313"/>
      <c r="J13" s="170"/>
      <c r="K13" s="220"/>
    </row>
    <row r="14" spans="1:11" s="318" customFormat="1" ht="12.75">
      <c r="A14" s="320"/>
      <c r="B14" s="321"/>
      <c r="C14" s="313"/>
      <c r="D14" s="313"/>
      <c r="E14" s="313"/>
      <c r="F14" s="313"/>
      <c r="G14" s="313"/>
      <c r="H14" s="313"/>
      <c r="I14" s="313"/>
      <c r="J14" s="170"/>
      <c r="K14" s="220"/>
    </row>
    <row r="15" spans="1:11" ht="43.5" customHeight="1">
      <c r="A15" s="216"/>
      <c r="B15" s="217" t="s">
        <v>234</v>
      </c>
      <c r="C15" s="218"/>
      <c r="D15" s="218"/>
      <c r="E15" s="218"/>
      <c r="F15" s="218"/>
      <c r="G15" s="218"/>
      <c r="H15" s="219"/>
      <c r="I15" s="218"/>
      <c r="J15" s="218"/>
      <c r="K15" s="220"/>
    </row>
    <row r="16" spans="1:11" ht="14.25" customHeight="1">
      <c r="A16" s="216"/>
      <c r="B16" s="217"/>
      <c r="C16" s="218"/>
      <c r="D16" s="218"/>
      <c r="E16" s="218"/>
      <c r="F16" s="218"/>
      <c r="G16" s="218"/>
      <c r="H16" s="219"/>
      <c r="I16" s="218"/>
      <c r="J16" s="218"/>
      <c r="K16" s="220"/>
    </row>
    <row r="17" spans="1:11" ht="15.75">
      <c r="A17" s="216">
        <v>1.21</v>
      </c>
      <c r="B17" s="217" t="s">
        <v>315</v>
      </c>
      <c r="C17" s="218" t="s">
        <v>30</v>
      </c>
      <c r="D17" s="313">
        <f>D11</f>
        <v>5.0500000000000007</v>
      </c>
      <c r="E17" s="313">
        <f>E11</f>
        <v>4.4000000000000004</v>
      </c>
      <c r="F17" s="218">
        <v>0.6</v>
      </c>
      <c r="G17" s="218">
        <f>0.8+0.2+0.2</f>
        <v>1.2</v>
      </c>
      <c r="H17" s="219" t="s">
        <v>313</v>
      </c>
      <c r="I17" s="218">
        <f>(((D17*2)+(E17*2))*F17*G17)+(D18*E18*F18)</f>
        <v>16.668000000000003</v>
      </c>
      <c r="J17" s="170"/>
      <c r="K17" s="220">
        <f>I17*J17</f>
        <v>0</v>
      </c>
    </row>
    <row r="18" spans="1:11" ht="14.25">
      <c r="A18" s="226"/>
      <c r="B18" s="217"/>
      <c r="C18" s="218"/>
      <c r="D18" s="218">
        <f>D4-0.4</f>
        <v>4.25</v>
      </c>
      <c r="E18" s="218">
        <f>E4-0.4</f>
        <v>3.6</v>
      </c>
      <c r="F18" s="218">
        <v>0.2</v>
      </c>
      <c r="G18" s="218"/>
      <c r="H18" s="218"/>
      <c r="I18" s="218"/>
      <c r="J18" s="218"/>
      <c r="K18" s="220"/>
    </row>
    <row r="19" spans="1:11" ht="38.25">
      <c r="A19" s="224">
        <v>1.22</v>
      </c>
      <c r="B19" s="217" t="s">
        <v>239</v>
      </c>
      <c r="C19" s="218" t="s">
        <v>30</v>
      </c>
      <c r="D19" s="218"/>
      <c r="E19" s="218"/>
      <c r="F19" s="218"/>
      <c r="G19" s="218"/>
      <c r="H19" s="218"/>
      <c r="I19" s="225">
        <f>(I11*0.25)+(0.3*I17)</f>
        <v>10.555400000000002</v>
      </c>
      <c r="J19" s="170"/>
      <c r="K19" s="220">
        <f>I19*J19</f>
        <v>0</v>
      </c>
    </row>
    <row r="20" spans="1:11" ht="14.25">
      <c r="A20" s="226"/>
      <c r="B20" s="217"/>
      <c r="C20" s="218"/>
      <c r="D20" s="218"/>
      <c r="E20" s="218"/>
      <c r="F20" s="218"/>
      <c r="G20" s="218"/>
      <c r="H20" s="218"/>
      <c r="I20" s="218"/>
      <c r="J20" s="218"/>
      <c r="K20" s="220"/>
    </row>
    <row r="21" spans="1:11" ht="25.5">
      <c r="A21" s="221">
        <v>1.23</v>
      </c>
      <c r="B21" s="222" t="s">
        <v>52</v>
      </c>
      <c r="C21" s="8" t="s">
        <v>30</v>
      </c>
      <c r="D21" s="8"/>
      <c r="E21" s="8"/>
      <c r="F21" s="8"/>
      <c r="G21" s="8"/>
      <c r="H21" s="182" t="s">
        <v>155</v>
      </c>
      <c r="I21" s="225">
        <f>60%*(SUM($I17))</f>
        <v>10.000800000000002</v>
      </c>
      <c r="J21" s="170"/>
      <c r="K21" s="220">
        <f>I21*J21</f>
        <v>0</v>
      </c>
    </row>
    <row r="22" spans="1:11" ht="14.25">
      <c r="A22" s="221"/>
      <c r="B22" s="222"/>
      <c r="C22" s="8"/>
      <c r="D22" s="8"/>
      <c r="E22" s="8"/>
      <c r="F22" s="8"/>
      <c r="G22" s="8"/>
      <c r="H22" s="148"/>
      <c r="I22" s="223"/>
      <c r="J22" s="218"/>
      <c r="K22" s="220"/>
    </row>
    <row r="23" spans="1:11" ht="15.75">
      <c r="A23" s="221">
        <v>1.24</v>
      </c>
      <c r="B23" s="222" t="s">
        <v>31</v>
      </c>
      <c r="C23" s="8" t="s">
        <v>30</v>
      </c>
      <c r="D23" s="8"/>
      <c r="E23" s="8"/>
      <c r="F23" s="8"/>
      <c r="G23" s="8"/>
      <c r="H23" s="182" t="s">
        <v>114</v>
      </c>
      <c r="I23" s="227">
        <f>30%*(SUM($I17))</f>
        <v>5.0004000000000008</v>
      </c>
      <c r="J23" s="170"/>
      <c r="K23" s="220">
        <f>I23*J23</f>
        <v>0</v>
      </c>
    </row>
    <row r="24" spans="1:11" ht="14.25">
      <c r="A24" s="221"/>
      <c r="B24" s="222"/>
      <c r="C24" s="8"/>
      <c r="D24" s="8"/>
      <c r="E24" s="8"/>
      <c r="F24" s="8"/>
      <c r="G24" s="8"/>
      <c r="H24" s="148"/>
      <c r="I24" s="223"/>
      <c r="J24" s="218"/>
      <c r="K24" s="220"/>
    </row>
    <row r="25" spans="1:11" ht="15.75">
      <c r="A25" s="221">
        <v>1.25</v>
      </c>
      <c r="B25" s="222" t="s">
        <v>32</v>
      </c>
      <c r="C25" s="8" t="s">
        <v>30</v>
      </c>
      <c r="D25" s="8"/>
      <c r="E25" s="8"/>
      <c r="F25" s="8"/>
      <c r="G25" s="8"/>
      <c r="H25" s="182" t="s">
        <v>160</v>
      </c>
      <c r="I25" s="227">
        <f>10%*(SUM($I17))</f>
        <v>1.6668000000000003</v>
      </c>
      <c r="J25" s="170"/>
      <c r="K25" s="220">
        <f>I25*J25</f>
        <v>0</v>
      </c>
    </row>
    <row r="26" spans="1:11" ht="14.25">
      <c r="A26" s="216"/>
      <c r="B26" s="217"/>
      <c r="C26" s="218"/>
      <c r="D26" s="218"/>
      <c r="E26" s="218"/>
      <c r="F26" s="218"/>
      <c r="G26" s="218"/>
      <c r="H26" s="218"/>
      <c r="I26" s="218"/>
      <c r="J26" s="218"/>
      <c r="K26" s="220"/>
    </row>
    <row r="27" spans="1:11" ht="14.25">
      <c r="A27" s="317">
        <v>1.3</v>
      </c>
      <c r="B27" s="316" t="s">
        <v>135</v>
      </c>
      <c r="C27" s="218"/>
      <c r="D27" s="218"/>
      <c r="E27" s="218"/>
      <c r="F27" s="218"/>
      <c r="G27" s="218"/>
      <c r="H27" s="218"/>
      <c r="I27" s="218"/>
      <c r="J27" s="218"/>
      <c r="K27" s="220"/>
    </row>
    <row r="28" spans="1:11" ht="14.25">
      <c r="A28" s="322"/>
      <c r="B28" s="323"/>
      <c r="C28" s="218"/>
      <c r="D28" s="218"/>
      <c r="E28" s="218"/>
      <c r="F28" s="218"/>
      <c r="G28" s="218"/>
      <c r="H28" s="218"/>
      <c r="I28" s="218"/>
      <c r="J28" s="218"/>
      <c r="K28" s="220"/>
    </row>
    <row r="29" spans="1:11" s="318" customFormat="1" ht="12.75">
      <c r="A29" s="312">
        <v>1.31</v>
      </c>
      <c r="B29" s="164" t="s">
        <v>120</v>
      </c>
      <c r="C29" s="313" t="s">
        <v>66</v>
      </c>
      <c r="D29" s="313">
        <f>D17</f>
        <v>5.0500000000000007</v>
      </c>
      <c r="E29" s="313">
        <f>E17</f>
        <v>4.4000000000000004</v>
      </c>
      <c r="F29" s="313">
        <v>0.6</v>
      </c>
      <c r="G29" s="313">
        <v>0.2</v>
      </c>
      <c r="H29" s="313"/>
      <c r="I29" s="216">
        <f>(((D29*2)+(E29*2))*F29*G29)+(D4*E4*G29)</f>
        <v>5.9880000000000013</v>
      </c>
      <c r="J29" s="170"/>
      <c r="K29" s="220">
        <f>I29*J29</f>
        <v>0</v>
      </c>
    </row>
    <row r="30" spans="1:11" ht="14.25">
      <c r="A30" s="171"/>
      <c r="B30" s="275"/>
      <c r="C30" s="172"/>
      <c r="D30" s="229"/>
      <c r="E30" s="229"/>
      <c r="F30" s="229"/>
      <c r="G30" s="229"/>
      <c r="H30" s="229"/>
      <c r="I30" s="145"/>
      <c r="J30" s="150"/>
      <c r="K30" s="173"/>
    </row>
    <row r="31" spans="1:11" s="255" customFormat="1">
      <c r="A31" s="420" t="s">
        <v>91</v>
      </c>
      <c r="B31" s="421"/>
      <c r="C31" s="421"/>
      <c r="D31" s="421"/>
      <c r="E31" s="421"/>
      <c r="F31" s="421"/>
      <c r="G31" s="421"/>
      <c r="H31" s="421"/>
      <c r="I31" s="421"/>
      <c r="J31" s="422"/>
      <c r="K31" s="254">
        <f>SUM(K5:K30)</f>
        <v>0</v>
      </c>
    </row>
    <row r="32" spans="1:11" ht="14.25">
      <c r="A32" s="317">
        <v>2</v>
      </c>
      <c r="B32" s="324" t="s">
        <v>115</v>
      </c>
      <c r="C32" s="313"/>
      <c r="D32" s="313"/>
      <c r="E32" s="313"/>
      <c r="F32" s="313"/>
      <c r="G32" s="313"/>
      <c r="H32" s="313"/>
      <c r="I32" s="313"/>
      <c r="J32" s="170"/>
      <c r="K32" s="220"/>
    </row>
    <row r="33" spans="1:11" ht="14.25">
      <c r="A33" s="325"/>
      <c r="B33" s="326"/>
      <c r="C33" s="313"/>
      <c r="D33" s="313"/>
      <c r="E33" s="313"/>
      <c r="F33" s="313"/>
      <c r="G33" s="313"/>
      <c r="H33" s="313"/>
      <c r="I33" s="313"/>
      <c r="J33" s="170"/>
      <c r="K33" s="220"/>
    </row>
    <row r="34" spans="1:11" ht="14.25">
      <c r="A34" s="317">
        <v>2.1</v>
      </c>
      <c r="B34" s="324" t="s">
        <v>44</v>
      </c>
      <c r="C34" s="313"/>
      <c r="D34" s="313"/>
      <c r="E34" s="313"/>
      <c r="F34" s="313"/>
      <c r="G34" s="313"/>
      <c r="H34" s="313"/>
      <c r="I34" s="313"/>
      <c r="J34" s="170"/>
      <c r="K34" s="220"/>
    </row>
    <row r="35" spans="1:11">
      <c r="A35" s="317"/>
      <c r="B35" s="327"/>
      <c r="C35" s="313"/>
      <c r="D35" s="313"/>
      <c r="E35" s="313"/>
      <c r="F35" s="313"/>
      <c r="G35" s="313"/>
      <c r="H35" s="313"/>
      <c r="I35" s="313"/>
      <c r="J35" s="170"/>
      <c r="K35" s="220"/>
    </row>
    <row r="36" spans="1:11" ht="42" customHeight="1">
      <c r="A36" s="216">
        <v>2.11</v>
      </c>
      <c r="B36" s="217" t="s">
        <v>273</v>
      </c>
      <c r="C36" s="313" t="s">
        <v>11</v>
      </c>
      <c r="D36" s="313">
        <f>D4</f>
        <v>4.6500000000000004</v>
      </c>
      <c r="E36" s="313">
        <f>E4</f>
        <v>4</v>
      </c>
      <c r="F36" s="313"/>
      <c r="G36" s="313"/>
      <c r="H36" s="313"/>
      <c r="I36" s="319">
        <f>I38/G38</f>
        <v>11.34</v>
      </c>
      <c r="J36" s="170"/>
      <c r="K36" s="220">
        <f>I36*J36</f>
        <v>0</v>
      </c>
    </row>
    <row r="37" spans="1:11" ht="14.25">
      <c r="A37" s="216"/>
      <c r="B37" s="217"/>
      <c r="C37" s="313"/>
      <c r="D37" s="313"/>
      <c r="E37" s="313"/>
      <c r="F37" s="278"/>
      <c r="G37" s="313"/>
      <c r="H37" s="313"/>
      <c r="I37" s="313"/>
      <c r="J37" s="170"/>
      <c r="K37" s="220"/>
    </row>
    <row r="38" spans="1:11" s="181" customFormat="1" ht="25.5">
      <c r="A38" s="216">
        <v>2.12</v>
      </c>
      <c r="B38" s="217" t="s">
        <v>152</v>
      </c>
      <c r="C38" s="313" t="s">
        <v>10</v>
      </c>
      <c r="D38" s="313">
        <f>D4+0.4</f>
        <v>5.0500000000000007</v>
      </c>
      <c r="E38" s="313">
        <f>E4+0.4</f>
        <v>4.4000000000000004</v>
      </c>
      <c r="F38" s="313">
        <v>0.6</v>
      </c>
      <c r="G38" s="313">
        <v>0.2</v>
      </c>
      <c r="H38" s="313"/>
      <c r="I38" s="319">
        <f>((D38*2)+(E38*2))*F38*G38</f>
        <v>2.2680000000000002</v>
      </c>
      <c r="J38" s="170"/>
      <c r="K38" s="220">
        <f>I38*J38</f>
        <v>0</v>
      </c>
    </row>
    <row r="39" spans="1:11" s="181" customFormat="1" ht="14.25">
      <c r="A39" s="322"/>
      <c r="B39" s="328"/>
      <c r="C39" s="329"/>
      <c r="D39" s="330"/>
      <c r="E39" s="330"/>
      <c r="F39" s="330"/>
      <c r="G39" s="330"/>
      <c r="H39" s="330"/>
      <c r="I39" s="329"/>
      <c r="J39" s="331"/>
      <c r="K39" s="332"/>
    </row>
    <row r="40" spans="1:11" ht="38.25" customHeight="1">
      <c r="A40" s="216">
        <v>2.13</v>
      </c>
      <c r="B40" s="217" t="s">
        <v>277</v>
      </c>
      <c r="C40" s="313" t="s">
        <v>10</v>
      </c>
      <c r="D40" s="313">
        <f>D4</f>
        <v>4.6500000000000004</v>
      </c>
      <c r="E40" s="313">
        <f>E4</f>
        <v>4</v>
      </c>
      <c r="F40" s="313">
        <v>0.15</v>
      </c>
      <c r="G40" s="313"/>
      <c r="H40" s="313"/>
      <c r="I40" s="319">
        <f>D40*E40*F40</f>
        <v>2.79</v>
      </c>
      <c r="J40" s="170"/>
      <c r="K40" s="220">
        <f>I40*J40</f>
        <v>0</v>
      </c>
    </row>
    <row r="41" spans="1:11" ht="12.75" customHeight="1">
      <c r="A41" s="216"/>
      <c r="B41" s="217"/>
      <c r="C41" s="313"/>
      <c r="D41" s="313"/>
      <c r="E41" s="313"/>
      <c r="F41" s="278"/>
      <c r="G41" s="313"/>
      <c r="H41" s="313"/>
      <c r="I41" s="313"/>
      <c r="J41" s="170"/>
      <c r="K41" s="220"/>
    </row>
    <row r="42" spans="1:11" ht="14.25">
      <c r="A42" s="325">
        <v>2.2000000000000002</v>
      </c>
      <c r="B42" s="333" t="s">
        <v>65</v>
      </c>
      <c r="C42" s="313"/>
      <c r="D42" s="313"/>
      <c r="E42" s="313"/>
      <c r="F42" s="313"/>
      <c r="G42" s="313"/>
      <c r="H42" s="313"/>
      <c r="I42" s="313"/>
      <c r="J42" s="170"/>
      <c r="K42" s="220"/>
    </row>
    <row r="43" spans="1:11" ht="14.25">
      <c r="A43" s="325"/>
      <c r="B43" s="333"/>
      <c r="C43" s="313"/>
      <c r="D43" s="313"/>
      <c r="E43" s="313"/>
      <c r="F43" s="313"/>
      <c r="G43" s="313"/>
      <c r="H43" s="313"/>
      <c r="I43" s="313"/>
      <c r="J43" s="170"/>
      <c r="K43" s="220"/>
    </row>
    <row r="44" spans="1:11" ht="53.25" customHeight="1">
      <c r="A44" s="216">
        <v>2.21</v>
      </c>
      <c r="B44" s="222" t="s">
        <v>278</v>
      </c>
      <c r="C44" s="313" t="s">
        <v>33</v>
      </c>
      <c r="D44" s="313">
        <f>D4</f>
        <v>4.6500000000000004</v>
      </c>
      <c r="E44" s="313">
        <f>E4</f>
        <v>4</v>
      </c>
      <c r="F44" s="313"/>
      <c r="G44" s="313"/>
      <c r="H44" s="313"/>
      <c r="I44" s="313">
        <f>(D44*E44)</f>
        <v>18.600000000000001</v>
      </c>
      <c r="J44" s="170"/>
      <c r="K44" s="220">
        <f>I44*J44</f>
        <v>0</v>
      </c>
    </row>
    <row r="45" spans="1:11" ht="14.25">
      <c r="A45" s="216"/>
      <c r="B45" s="222"/>
      <c r="C45" s="313"/>
      <c r="D45" s="313"/>
      <c r="E45" s="313"/>
      <c r="F45" s="313"/>
      <c r="G45" s="313"/>
      <c r="H45" s="313"/>
      <c r="I45" s="313"/>
      <c r="J45" s="170"/>
      <c r="K45" s="220"/>
    </row>
    <row r="46" spans="1:11" ht="12.75" customHeight="1">
      <c r="A46" s="216">
        <v>2.2200000000000002</v>
      </c>
      <c r="B46" s="222" t="s">
        <v>41</v>
      </c>
      <c r="C46" s="313" t="s">
        <v>34</v>
      </c>
      <c r="D46" s="313"/>
      <c r="E46" s="313"/>
      <c r="F46" s="313"/>
      <c r="G46" s="313"/>
      <c r="H46" s="166" t="s">
        <v>67</v>
      </c>
      <c r="I46" s="319">
        <v>74.539390794479928</v>
      </c>
      <c r="J46" s="170"/>
      <c r="K46" s="220">
        <f>I46*J46</f>
        <v>0</v>
      </c>
    </row>
    <row r="47" spans="1:11" ht="14.25">
      <c r="A47" s="216"/>
      <c r="B47" s="222"/>
      <c r="C47" s="313"/>
      <c r="D47" s="313"/>
      <c r="E47" s="313"/>
      <c r="F47" s="313"/>
      <c r="G47" s="313"/>
      <c r="H47" s="313"/>
      <c r="I47" s="313"/>
      <c r="J47" s="170"/>
      <c r="K47" s="220"/>
    </row>
    <row r="48" spans="1:11" ht="14.25">
      <c r="A48" s="325">
        <v>2.2999999999999998</v>
      </c>
      <c r="B48" s="333" t="s">
        <v>35</v>
      </c>
      <c r="C48" s="313"/>
      <c r="D48" s="218"/>
      <c r="E48" s="218"/>
      <c r="F48" s="218"/>
      <c r="G48" s="218"/>
      <c r="H48" s="218"/>
      <c r="I48" s="218"/>
      <c r="J48" s="218"/>
      <c r="K48" s="220"/>
    </row>
    <row r="49" spans="1:12" ht="14.25">
      <c r="A49" s="216"/>
      <c r="B49" s="334"/>
      <c r="C49" s="268"/>
      <c r="D49" s="313"/>
      <c r="E49" s="313"/>
      <c r="F49" s="313"/>
      <c r="G49" s="313"/>
      <c r="H49" s="313"/>
      <c r="I49" s="313"/>
      <c r="J49" s="170"/>
      <c r="K49" s="220"/>
    </row>
    <row r="50" spans="1:12" ht="27.75" customHeight="1">
      <c r="A50" s="216">
        <v>2.31</v>
      </c>
      <c r="B50" s="222" t="s">
        <v>36</v>
      </c>
      <c r="C50" s="8"/>
      <c r="D50" s="313"/>
      <c r="E50" s="313"/>
      <c r="F50" s="313"/>
      <c r="G50" s="313"/>
      <c r="H50" s="313"/>
      <c r="I50" s="313"/>
      <c r="J50" s="170"/>
      <c r="K50" s="220"/>
    </row>
    <row r="51" spans="1:12" ht="14.25">
      <c r="A51" s="322"/>
      <c r="B51" s="335"/>
      <c r="C51" s="195"/>
      <c r="D51" s="329"/>
      <c r="E51" s="329"/>
      <c r="F51" s="329"/>
      <c r="G51" s="329"/>
      <c r="H51" s="329"/>
      <c r="I51" s="329"/>
      <c r="J51" s="331"/>
      <c r="K51" s="332"/>
    </row>
    <row r="52" spans="1:12" ht="14.25">
      <c r="A52" s="216">
        <v>2.3199999999999998</v>
      </c>
      <c r="B52" s="222" t="s">
        <v>101</v>
      </c>
      <c r="C52" s="8" t="s">
        <v>3</v>
      </c>
      <c r="D52" s="313">
        <f>D4</f>
        <v>4.6500000000000004</v>
      </c>
      <c r="E52" s="313">
        <f>E4</f>
        <v>4</v>
      </c>
      <c r="F52" s="313"/>
      <c r="G52" s="313"/>
      <c r="H52" s="313"/>
      <c r="I52" s="313">
        <f>(D52*2)+(E52*2)</f>
        <v>17.3</v>
      </c>
      <c r="J52" s="170"/>
      <c r="K52" s="220">
        <f>I52*J52</f>
        <v>0</v>
      </c>
    </row>
    <row r="53" spans="1:12" ht="14.25">
      <c r="A53" s="216"/>
      <c r="B53" s="222"/>
      <c r="C53" s="195"/>
      <c r="D53" s="329"/>
      <c r="E53" s="329"/>
      <c r="F53" s="329"/>
      <c r="G53" s="329"/>
      <c r="H53" s="329"/>
      <c r="I53" s="329"/>
      <c r="J53" s="331"/>
      <c r="K53" s="332"/>
    </row>
    <row r="54" spans="1:12" s="255" customFormat="1">
      <c r="A54" s="420" t="s">
        <v>83</v>
      </c>
      <c r="B54" s="421"/>
      <c r="C54" s="421"/>
      <c r="D54" s="421"/>
      <c r="E54" s="421"/>
      <c r="F54" s="421"/>
      <c r="G54" s="421"/>
      <c r="H54" s="421"/>
      <c r="I54" s="421"/>
      <c r="J54" s="422"/>
      <c r="K54" s="254">
        <f>SUM(K33:K53)</f>
        <v>0</v>
      </c>
    </row>
    <row r="55" spans="1:12" s="181" customFormat="1" ht="14.25">
      <c r="A55" s="256"/>
      <c r="B55" s="257"/>
      <c r="C55" s="172"/>
      <c r="D55" s="142"/>
      <c r="E55" s="142"/>
      <c r="F55" s="142"/>
      <c r="G55" s="142"/>
      <c r="H55" s="142"/>
      <c r="I55" s="172"/>
      <c r="J55" s="150"/>
      <c r="K55" s="173"/>
    </row>
    <row r="56" spans="1:12" ht="19.5" customHeight="1">
      <c r="A56" s="325">
        <v>3</v>
      </c>
      <c r="B56" s="336" t="s">
        <v>38</v>
      </c>
      <c r="C56" s="268"/>
      <c r="D56" s="218"/>
      <c r="E56" s="218"/>
      <c r="F56" s="218"/>
      <c r="G56" s="218"/>
      <c r="H56" s="218"/>
      <c r="I56" s="218"/>
      <c r="J56" s="218"/>
      <c r="K56" s="220"/>
    </row>
    <row r="57" spans="1:12" ht="14.25">
      <c r="A57" s="325"/>
      <c r="B57" s="222"/>
      <c r="C57" s="313"/>
      <c r="D57" s="313"/>
      <c r="E57" s="313"/>
      <c r="F57" s="313"/>
      <c r="G57" s="313"/>
      <c r="H57" s="313"/>
      <c r="I57" s="313"/>
      <c r="J57" s="170"/>
      <c r="K57" s="220"/>
    </row>
    <row r="58" spans="1:12" ht="14.25">
      <c r="A58" s="325">
        <v>3.1</v>
      </c>
      <c r="B58" s="333" t="s">
        <v>142</v>
      </c>
      <c r="C58" s="313"/>
      <c r="D58" s="313"/>
      <c r="E58" s="313"/>
      <c r="F58" s="313"/>
      <c r="G58" s="313"/>
      <c r="H58" s="313"/>
      <c r="I58" s="313"/>
      <c r="J58" s="170"/>
      <c r="K58" s="220"/>
    </row>
    <row r="59" spans="1:12" ht="14.25">
      <c r="A59" s="325"/>
      <c r="B59" s="222"/>
      <c r="C59" s="313"/>
      <c r="D59" s="313"/>
      <c r="E59" s="313"/>
      <c r="F59" s="313"/>
      <c r="G59" s="313"/>
      <c r="H59" s="313"/>
      <c r="I59" s="313"/>
      <c r="J59" s="170"/>
      <c r="K59" s="220"/>
    </row>
    <row r="60" spans="1:12" ht="38.25">
      <c r="A60" s="216"/>
      <c r="B60" s="222" t="s">
        <v>173</v>
      </c>
      <c r="C60" s="313"/>
      <c r="D60" s="313"/>
      <c r="E60" s="313"/>
      <c r="F60" s="313"/>
      <c r="G60" s="313"/>
      <c r="H60" s="313"/>
      <c r="I60" s="313"/>
      <c r="J60" s="170"/>
      <c r="K60" s="220"/>
    </row>
    <row r="61" spans="1:12" ht="14.25">
      <c r="A61" s="325"/>
      <c r="B61" s="222"/>
      <c r="C61" s="313"/>
      <c r="D61" s="313"/>
      <c r="E61" s="313"/>
      <c r="F61" s="313"/>
      <c r="G61" s="313"/>
      <c r="H61" s="313"/>
      <c r="I61" s="313"/>
      <c r="J61" s="170"/>
      <c r="K61" s="220"/>
    </row>
    <row r="62" spans="1:12" ht="14.25">
      <c r="A62" s="216">
        <v>3.11</v>
      </c>
      <c r="B62" s="164" t="s">
        <v>249</v>
      </c>
      <c r="C62" s="313" t="s">
        <v>60</v>
      </c>
      <c r="D62" s="166">
        <f>(D4*2)+(E4*3)</f>
        <v>21.3</v>
      </c>
      <c r="E62" s="166">
        <v>2.1</v>
      </c>
      <c r="F62" s="185"/>
      <c r="G62" s="166">
        <f>D62*E62</f>
        <v>44.730000000000004</v>
      </c>
      <c r="H62" s="166" t="s">
        <v>111</v>
      </c>
      <c r="I62" s="225">
        <f>G62+G63</f>
        <v>51.477000000000004</v>
      </c>
      <c r="J62" s="170"/>
      <c r="K62" s="220">
        <f>G62*J62</f>
        <v>0</v>
      </c>
      <c r="L62" s="337"/>
    </row>
    <row r="63" spans="1:12" ht="14.25">
      <c r="A63" s="216"/>
      <c r="B63" s="164"/>
      <c r="C63" s="166"/>
      <c r="D63" s="166">
        <f>D4</f>
        <v>4.6500000000000004</v>
      </c>
      <c r="E63" s="166">
        <v>0.78</v>
      </c>
      <c r="F63" s="166">
        <f>E4</f>
        <v>4</v>
      </c>
      <c r="G63" s="338">
        <f>(D63*E63)+(F63*E63)</f>
        <v>6.7469999999999999</v>
      </c>
      <c r="H63" s="166"/>
      <c r="I63" s="166"/>
      <c r="J63" s="166"/>
      <c r="K63" s="220"/>
      <c r="L63" s="337"/>
    </row>
    <row r="64" spans="1:12" ht="15.75">
      <c r="A64" s="216">
        <v>3.12</v>
      </c>
      <c r="B64" s="222" t="s">
        <v>102</v>
      </c>
      <c r="C64" s="313" t="s">
        <v>33</v>
      </c>
      <c r="D64" s="166">
        <f>D4</f>
        <v>4.6500000000000004</v>
      </c>
      <c r="E64" s="166">
        <f>E4</f>
        <v>4</v>
      </c>
      <c r="F64" s="218">
        <f>1-0.2</f>
        <v>0.8</v>
      </c>
      <c r="G64" s="218"/>
      <c r="H64" s="219" t="s">
        <v>112</v>
      </c>
      <c r="I64" s="225">
        <f>((D64*2)+(E64*2))*F64</f>
        <v>13.840000000000002</v>
      </c>
      <c r="J64" s="170"/>
      <c r="K64" s="220">
        <f>I64*J64</f>
        <v>0</v>
      </c>
    </row>
    <row r="65" spans="1:11" ht="14.25">
      <c r="A65" s="325"/>
      <c r="B65" s="222"/>
      <c r="C65" s="313"/>
      <c r="D65" s="313"/>
      <c r="E65" s="313"/>
      <c r="F65" s="313"/>
      <c r="G65" s="313"/>
      <c r="H65" s="313"/>
      <c r="I65" s="313"/>
      <c r="J65" s="170"/>
      <c r="K65" s="220"/>
    </row>
    <row r="66" spans="1:11" ht="14.25">
      <c r="A66" s="325">
        <v>3.2</v>
      </c>
      <c r="B66" s="333" t="s">
        <v>131</v>
      </c>
      <c r="C66" s="313"/>
      <c r="D66" s="313"/>
      <c r="E66" s="313"/>
      <c r="F66" s="313"/>
      <c r="G66" s="313"/>
      <c r="H66" s="313"/>
      <c r="I66" s="313"/>
      <c r="J66" s="170"/>
      <c r="K66" s="220"/>
    </row>
    <row r="67" spans="1:11" ht="14.25">
      <c r="A67" s="325"/>
      <c r="B67" s="222"/>
      <c r="C67" s="313"/>
      <c r="D67" s="313"/>
      <c r="E67" s="313"/>
      <c r="F67" s="313"/>
      <c r="G67" s="313"/>
      <c r="H67" s="313"/>
      <c r="I67" s="313"/>
      <c r="J67" s="170"/>
      <c r="K67" s="220"/>
    </row>
    <row r="68" spans="1:11" ht="15.75">
      <c r="A68" s="339">
        <v>3.21</v>
      </c>
      <c r="B68" s="340" t="s">
        <v>265</v>
      </c>
      <c r="C68" s="313" t="s">
        <v>33</v>
      </c>
      <c r="D68" s="218">
        <f>D4</f>
        <v>4.6500000000000004</v>
      </c>
      <c r="E68" s="218">
        <f>E4</f>
        <v>4</v>
      </c>
      <c r="F68" s="218"/>
      <c r="G68" s="218"/>
      <c r="H68" s="218"/>
      <c r="I68" s="218">
        <f>D68*E68</f>
        <v>18.600000000000001</v>
      </c>
      <c r="J68" s="170"/>
      <c r="K68" s="220">
        <f>I68*J68</f>
        <v>0</v>
      </c>
    </row>
    <row r="69" spans="1:11" ht="14.25">
      <c r="A69" s="325"/>
      <c r="B69" s="340"/>
      <c r="C69" s="313"/>
      <c r="D69" s="313"/>
      <c r="E69" s="313"/>
      <c r="F69" s="313"/>
      <c r="G69" s="313"/>
      <c r="H69" s="313"/>
      <c r="I69" s="313"/>
      <c r="J69" s="170"/>
      <c r="K69" s="220"/>
    </row>
    <row r="70" spans="1:11" ht="14.25">
      <c r="A70" s="339">
        <v>3.22</v>
      </c>
      <c r="B70" s="340" t="s">
        <v>51</v>
      </c>
      <c r="C70" s="313" t="s">
        <v>3</v>
      </c>
      <c r="D70" s="313">
        <f>D4</f>
        <v>4.6500000000000004</v>
      </c>
      <c r="E70" s="313">
        <f>E4</f>
        <v>4</v>
      </c>
      <c r="F70" s="313"/>
      <c r="G70" s="313"/>
      <c r="H70" s="313"/>
      <c r="I70" s="313">
        <f>(D70*2)+(E70*2)</f>
        <v>17.3</v>
      </c>
      <c r="J70" s="170"/>
      <c r="K70" s="220">
        <f>I70*J70</f>
        <v>0</v>
      </c>
    </row>
    <row r="71" spans="1:11" ht="14.25">
      <c r="A71" s="325"/>
      <c r="B71" s="222"/>
      <c r="C71" s="313"/>
      <c r="D71" s="313"/>
      <c r="E71" s="313"/>
      <c r="F71" s="313"/>
      <c r="G71" s="313"/>
      <c r="H71" s="313"/>
      <c r="I71" s="313"/>
      <c r="J71" s="170"/>
      <c r="K71" s="220"/>
    </row>
    <row r="72" spans="1:11" ht="14.25">
      <c r="A72" s="325">
        <v>3.3</v>
      </c>
      <c r="B72" s="333" t="s">
        <v>268</v>
      </c>
      <c r="C72" s="313"/>
      <c r="D72" s="313"/>
      <c r="E72" s="313"/>
      <c r="F72" s="313"/>
      <c r="G72" s="313"/>
      <c r="H72" s="313"/>
      <c r="I72" s="313"/>
      <c r="J72" s="170"/>
      <c r="K72" s="220"/>
    </row>
    <row r="73" spans="1:11" ht="14.25">
      <c r="A73" s="325"/>
      <c r="B73" s="341"/>
      <c r="C73" s="313"/>
      <c r="D73" s="313"/>
      <c r="E73" s="313"/>
      <c r="F73" s="313"/>
      <c r="G73" s="313"/>
      <c r="H73" s="313"/>
      <c r="I73" s="313"/>
      <c r="J73" s="170"/>
      <c r="K73" s="220"/>
    </row>
    <row r="74" spans="1:11" ht="25.5">
      <c r="A74" s="216">
        <v>3.31</v>
      </c>
      <c r="B74" s="163" t="s">
        <v>248</v>
      </c>
      <c r="C74" s="313" t="s">
        <v>33</v>
      </c>
      <c r="D74" s="313">
        <f>D4*E62*2</f>
        <v>19.53</v>
      </c>
      <c r="E74" s="313">
        <f>E4*E62*4</f>
        <v>33.6</v>
      </c>
      <c r="F74" s="313">
        <f>E63*E4*2</f>
        <v>6.24</v>
      </c>
      <c r="G74" s="313">
        <f>D91*E63</f>
        <v>3.6270000000000002</v>
      </c>
      <c r="H74" s="313"/>
      <c r="I74" s="319">
        <f>SUM(D74:G74)+G63</f>
        <v>69.744</v>
      </c>
      <c r="J74" s="170"/>
      <c r="K74" s="220">
        <f>I74*J74</f>
        <v>0</v>
      </c>
    </row>
    <row r="75" spans="1:11" ht="14.25">
      <c r="A75" s="171"/>
      <c r="B75" s="275"/>
      <c r="C75" s="172"/>
      <c r="D75" s="229"/>
      <c r="E75" s="229"/>
      <c r="F75" s="229"/>
      <c r="G75" s="229"/>
      <c r="H75" s="229"/>
      <c r="I75" s="145"/>
      <c r="J75" s="150"/>
      <c r="K75" s="173"/>
    </row>
    <row r="76" spans="1:11" s="255" customFormat="1">
      <c r="A76" s="420" t="s">
        <v>84</v>
      </c>
      <c r="B76" s="421"/>
      <c r="C76" s="421"/>
      <c r="D76" s="421"/>
      <c r="E76" s="421"/>
      <c r="F76" s="421"/>
      <c r="G76" s="421"/>
      <c r="H76" s="421"/>
      <c r="I76" s="421"/>
      <c r="J76" s="422"/>
      <c r="K76" s="254">
        <f>SUM(K55:K74)</f>
        <v>0</v>
      </c>
    </row>
    <row r="77" spans="1:11" ht="14.25">
      <c r="A77" s="317">
        <v>4</v>
      </c>
      <c r="B77" s="324" t="s">
        <v>116</v>
      </c>
      <c r="C77" s="313"/>
      <c r="D77" s="313"/>
      <c r="E77" s="313"/>
      <c r="F77" s="313"/>
      <c r="G77" s="313"/>
      <c r="H77" s="313"/>
      <c r="I77" s="313"/>
      <c r="J77" s="170"/>
      <c r="K77" s="220"/>
    </row>
    <row r="78" spans="1:11" ht="14.25">
      <c r="A78" s="325"/>
      <c r="B78" s="326"/>
      <c r="C78" s="313"/>
      <c r="D78" s="313"/>
      <c r="E78" s="313"/>
      <c r="F78" s="313"/>
      <c r="G78" s="313"/>
      <c r="H78" s="313"/>
      <c r="I78" s="313"/>
      <c r="J78" s="170"/>
      <c r="K78" s="220"/>
    </row>
    <row r="79" spans="1:11" ht="14.25">
      <c r="A79" s="317">
        <v>4.0999999999999996</v>
      </c>
      <c r="B79" s="324" t="s">
        <v>44</v>
      </c>
      <c r="C79" s="313"/>
      <c r="D79" s="313"/>
      <c r="E79" s="313"/>
      <c r="F79" s="313"/>
      <c r="G79" s="313"/>
      <c r="H79" s="313"/>
      <c r="I79" s="313"/>
      <c r="J79" s="170"/>
      <c r="K79" s="220"/>
    </row>
    <row r="80" spans="1:11">
      <c r="A80" s="317"/>
      <c r="B80" s="327"/>
      <c r="C80" s="313"/>
      <c r="D80" s="313"/>
      <c r="E80" s="313"/>
      <c r="F80" s="313"/>
      <c r="G80" s="313"/>
      <c r="H80" s="313"/>
      <c r="I80" s="313"/>
      <c r="J80" s="170"/>
      <c r="K80" s="220"/>
    </row>
    <row r="81" spans="1:12" ht="25.5">
      <c r="A81" s="216">
        <v>4.1100000000000003</v>
      </c>
      <c r="B81" s="217" t="s">
        <v>149</v>
      </c>
      <c r="C81" s="313" t="s">
        <v>10</v>
      </c>
      <c r="D81" s="313">
        <f>D4</f>
        <v>4.6500000000000004</v>
      </c>
      <c r="E81" s="313">
        <f>E4</f>
        <v>4</v>
      </c>
      <c r="F81" s="313">
        <v>0.15</v>
      </c>
      <c r="G81" s="313">
        <v>0.25</v>
      </c>
      <c r="H81" s="313"/>
      <c r="I81" s="319">
        <f>((D81*2)+(E81*3))*F81*G81</f>
        <v>0.79874999999999996</v>
      </c>
      <c r="J81" s="170"/>
      <c r="K81" s="220">
        <f>I81*J81</f>
        <v>0</v>
      </c>
    </row>
    <row r="82" spans="1:12" s="181" customFormat="1" ht="14.25">
      <c r="A82" s="322"/>
      <c r="B82" s="328"/>
      <c r="C82" s="329"/>
      <c r="D82" s="330"/>
      <c r="E82" s="330"/>
      <c r="F82" s="330"/>
      <c r="G82" s="330"/>
      <c r="H82" s="330"/>
      <c r="I82" s="329"/>
      <c r="J82" s="331"/>
      <c r="K82" s="332"/>
    </row>
    <row r="83" spans="1:12" ht="14.25">
      <c r="A83" s="325">
        <v>4.2</v>
      </c>
      <c r="B83" s="333" t="s">
        <v>65</v>
      </c>
      <c r="C83" s="313"/>
      <c r="D83" s="313"/>
      <c r="E83" s="313"/>
      <c r="F83" s="313"/>
      <c r="G83" s="313"/>
      <c r="H83" s="313"/>
      <c r="I83" s="313"/>
      <c r="J83" s="170"/>
      <c r="K83" s="220"/>
    </row>
    <row r="84" spans="1:12" ht="14.25">
      <c r="A84" s="325"/>
      <c r="B84" s="333"/>
      <c r="C84" s="313"/>
      <c r="D84" s="313"/>
      <c r="E84" s="313"/>
      <c r="F84" s="313"/>
      <c r="G84" s="313"/>
      <c r="H84" s="313"/>
      <c r="I84" s="313"/>
      <c r="J84" s="170"/>
      <c r="K84" s="220"/>
    </row>
    <row r="85" spans="1:12" ht="12.75" customHeight="1">
      <c r="A85" s="216">
        <v>4.21</v>
      </c>
      <c r="B85" s="222" t="s">
        <v>41</v>
      </c>
      <c r="C85" s="313" t="s">
        <v>34</v>
      </c>
      <c r="D85" s="313"/>
      <c r="E85" s="313"/>
      <c r="F85" s="313"/>
      <c r="G85" s="313"/>
      <c r="H85" s="166" t="s">
        <v>67</v>
      </c>
      <c r="I85" s="342">
        <v>236</v>
      </c>
      <c r="J85" s="170"/>
      <c r="K85" s="220">
        <f>I85*J85</f>
        <v>0</v>
      </c>
    </row>
    <row r="86" spans="1:12" ht="14.25">
      <c r="A86" s="216"/>
      <c r="B86" s="222"/>
      <c r="C86" s="313"/>
      <c r="D86" s="313"/>
      <c r="E86" s="313"/>
      <c r="F86" s="313"/>
      <c r="G86" s="313"/>
      <c r="H86" s="313"/>
      <c r="I86" s="313"/>
      <c r="J86" s="170"/>
      <c r="K86" s="220"/>
    </row>
    <row r="87" spans="1:12" ht="14.25">
      <c r="A87" s="325">
        <v>4.3</v>
      </c>
      <c r="B87" s="333" t="s">
        <v>35</v>
      </c>
      <c r="C87" s="313"/>
      <c r="D87" s="218"/>
      <c r="E87" s="218"/>
      <c r="F87" s="218"/>
      <c r="G87" s="218"/>
      <c r="H87" s="218"/>
      <c r="I87" s="218"/>
      <c r="J87" s="218"/>
      <c r="K87" s="220"/>
    </row>
    <row r="88" spans="1:12" ht="14.25">
      <c r="A88" s="216"/>
      <c r="B88" s="334"/>
      <c r="C88" s="268"/>
      <c r="D88" s="313"/>
      <c r="E88" s="313"/>
      <c r="F88" s="313"/>
      <c r="G88" s="313"/>
      <c r="H88" s="313"/>
      <c r="I88" s="313"/>
      <c r="J88" s="170"/>
      <c r="K88" s="220"/>
    </row>
    <row r="89" spans="1:12" ht="27.75" customHeight="1">
      <c r="A89" s="216"/>
      <c r="B89" s="222" t="s">
        <v>237</v>
      </c>
      <c r="C89" s="8"/>
      <c r="D89" s="313"/>
      <c r="E89" s="313"/>
      <c r="F89" s="313"/>
      <c r="G89" s="313"/>
      <c r="H89" s="313"/>
      <c r="I89" s="313"/>
      <c r="J89" s="170"/>
      <c r="K89" s="220"/>
    </row>
    <row r="90" spans="1:12" ht="14.25">
      <c r="A90" s="322"/>
      <c r="B90" s="335"/>
      <c r="C90" s="195"/>
      <c r="D90" s="329"/>
      <c r="E90" s="329"/>
      <c r="F90" s="329"/>
      <c r="G90" s="329"/>
      <c r="H90" s="329"/>
      <c r="I90" s="329"/>
      <c r="J90" s="331"/>
      <c r="K90" s="332"/>
    </row>
    <row r="91" spans="1:12" ht="15.75">
      <c r="A91" s="216">
        <v>4.3099999999999996</v>
      </c>
      <c r="B91" s="222" t="s">
        <v>105</v>
      </c>
      <c r="C91" s="313" t="s">
        <v>33</v>
      </c>
      <c r="D91" s="313">
        <f>D4</f>
        <v>4.6500000000000004</v>
      </c>
      <c r="E91" s="313">
        <f>E38</f>
        <v>4.4000000000000004</v>
      </c>
      <c r="F91" s="313">
        <v>0.3</v>
      </c>
      <c r="G91" s="313"/>
      <c r="H91" s="219"/>
      <c r="I91" s="313">
        <f>0.3*(2*((D91*2)+(E91*3)))</f>
        <v>13.5</v>
      </c>
      <c r="J91" s="170"/>
      <c r="K91" s="220">
        <f>I91*J91</f>
        <v>0</v>
      </c>
      <c r="L91" s="337"/>
    </row>
    <row r="92" spans="1:12" ht="16.5" customHeight="1">
      <c r="A92" s="343"/>
      <c r="B92" s="164"/>
      <c r="C92" s="195"/>
      <c r="D92" s="329"/>
      <c r="E92" s="329"/>
      <c r="F92" s="329"/>
      <c r="G92" s="329"/>
      <c r="H92" s="344"/>
      <c r="I92" s="329"/>
      <c r="J92" s="329"/>
      <c r="K92" s="332"/>
      <c r="L92" s="337"/>
    </row>
    <row r="93" spans="1:12" s="255" customFormat="1">
      <c r="A93" s="420" t="s">
        <v>85</v>
      </c>
      <c r="B93" s="421"/>
      <c r="C93" s="421"/>
      <c r="D93" s="421"/>
      <c r="E93" s="421"/>
      <c r="F93" s="421"/>
      <c r="G93" s="421"/>
      <c r="H93" s="421"/>
      <c r="I93" s="421"/>
      <c r="J93" s="422"/>
      <c r="K93" s="254">
        <f>SUM(K78:K92)</f>
        <v>0</v>
      </c>
    </row>
    <row r="94" spans="1:12">
      <c r="A94" s="345"/>
      <c r="B94" s="327"/>
      <c r="C94" s="166"/>
      <c r="D94" s="166"/>
      <c r="E94" s="166"/>
      <c r="F94" s="166"/>
      <c r="G94" s="166"/>
      <c r="H94" s="166"/>
      <c r="I94" s="166"/>
      <c r="J94" s="166"/>
      <c r="K94" s="220"/>
    </row>
    <row r="95" spans="1:12" s="181" customFormat="1" ht="14.25">
      <c r="A95" s="256">
        <v>5</v>
      </c>
      <c r="B95" s="258" t="s">
        <v>12</v>
      </c>
      <c r="C95" s="172"/>
      <c r="D95" s="144"/>
      <c r="E95" s="144"/>
      <c r="F95" s="144"/>
      <c r="G95" s="144"/>
      <c r="H95" s="144"/>
      <c r="I95" s="145"/>
      <c r="J95" s="144"/>
      <c r="K95" s="173"/>
    </row>
    <row r="96" spans="1:12" s="181" customFormat="1" ht="14.25">
      <c r="A96" s="256"/>
      <c r="B96" s="144"/>
      <c r="C96" s="172"/>
      <c r="D96" s="142"/>
      <c r="E96" s="142"/>
      <c r="F96" s="142"/>
      <c r="G96" s="142"/>
      <c r="H96" s="142"/>
      <c r="I96" s="172"/>
      <c r="J96" s="150"/>
      <c r="K96" s="173"/>
    </row>
    <row r="97" spans="1:11" ht="14.25" hidden="1">
      <c r="A97" s="216"/>
      <c r="B97" s="163"/>
      <c r="C97" s="166"/>
      <c r="D97" s="166"/>
      <c r="E97" s="166"/>
      <c r="F97" s="166"/>
      <c r="G97" s="166"/>
      <c r="H97" s="166"/>
      <c r="I97" s="166"/>
      <c r="J97" s="166"/>
      <c r="K97" s="220">
        <f>I97*J97</f>
        <v>0</v>
      </c>
    </row>
    <row r="98" spans="1:11" ht="14.25" hidden="1">
      <c r="A98" s="322"/>
      <c r="B98" s="163"/>
      <c r="C98" s="166"/>
      <c r="D98" s="166"/>
      <c r="E98" s="166"/>
      <c r="F98" s="166"/>
      <c r="G98" s="166"/>
      <c r="H98" s="166"/>
      <c r="I98" s="166"/>
      <c r="J98" s="166"/>
      <c r="K98" s="220">
        <f>I98*J98</f>
        <v>0</v>
      </c>
    </row>
    <row r="99" spans="1:11" ht="14.25">
      <c r="A99" s="325">
        <v>5.0999999999999996</v>
      </c>
      <c r="B99" s="346" t="s">
        <v>68</v>
      </c>
      <c r="C99" s="166"/>
      <c r="D99" s="166"/>
      <c r="E99" s="166"/>
      <c r="F99" s="166"/>
      <c r="G99" s="166"/>
      <c r="H99" s="166"/>
      <c r="I99" s="166"/>
      <c r="J99" s="166"/>
      <c r="K99" s="220"/>
    </row>
    <row r="100" spans="1:11" ht="14.25">
      <c r="A100" s="343"/>
      <c r="B100" s="346"/>
      <c r="C100" s="166"/>
      <c r="D100" s="166"/>
      <c r="E100" s="166"/>
      <c r="F100" s="166"/>
      <c r="G100" s="166"/>
      <c r="H100" s="166"/>
      <c r="I100" s="166"/>
      <c r="J100" s="166"/>
      <c r="K100" s="220"/>
    </row>
    <row r="101" spans="1:11" ht="38.25">
      <c r="A101" s="216">
        <v>5.1100000000000003</v>
      </c>
      <c r="B101" s="163" t="s">
        <v>250</v>
      </c>
      <c r="C101" s="166" t="s">
        <v>180</v>
      </c>
      <c r="D101" s="166"/>
      <c r="E101" s="166"/>
      <c r="F101" s="166"/>
      <c r="G101" s="166"/>
      <c r="H101" s="166"/>
      <c r="I101" s="166" t="s">
        <v>104</v>
      </c>
      <c r="J101" s="170"/>
      <c r="K101" s="220">
        <f>J101</f>
        <v>0</v>
      </c>
    </row>
    <row r="102" spans="1:11" ht="14.25">
      <c r="A102" s="343"/>
      <c r="B102" s="346"/>
      <c r="C102" s="166"/>
      <c r="D102" s="166"/>
      <c r="E102" s="166"/>
      <c r="F102" s="166"/>
      <c r="G102" s="166"/>
      <c r="H102" s="166"/>
      <c r="I102" s="166"/>
      <c r="J102" s="166"/>
      <c r="K102" s="220"/>
    </row>
    <row r="103" spans="1:11" ht="25.5">
      <c r="A103" s="216">
        <v>5.12</v>
      </c>
      <c r="B103" s="163" t="s">
        <v>181</v>
      </c>
      <c r="C103" s="166" t="s">
        <v>3</v>
      </c>
      <c r="D103" s="166"/>
      <c r="E103" s="166"/>
      <c r="F103" s="166"/>
      <c r="G103" s="166"/>
      <c r="H103" s="166"/>
      <c r="I103" s="166">
        <v>4</v>
      </c>
      <c r="J103" s="170"/>
      <c r="K103" s="220">
        <f>I103*J103</f>
        <v>0</v>
      </c>
    </row>
    <row r="104" spans="1:11" ht="14.25">
      <c r="A104" s="322"/>
      <c r="B104" s="163"/>
      <c r="C104" s="166"/>
      <c r="D104" s="166"/>
      <c r="E104" s="166"/>
      <c r="F104" s="166"/>
      <c r="G104" s="166"/>
      <c r="H104" s="166"/>
      <c r="I104" s="166"/>
      <c r="J104" s="166"/>
      <c r="K104" s="220"/>
    </row>
    <row r="105" spans="1:11" ht="58.5" customHeight="1">
      <c r="A105" s="216">
        <v>5.13</v>
      </c>
      <c r="B105" s="163" t="s">
        <v>179</v>
      </c>
      <c r="C105" s="166" t="s">
        <v>180</v>
      </c>
      <c r="D105" s="166"/>
      <c r="E105" s="166"/>
      <c r="F105" s="166"/>
      <c r="G105" s="166"/>
      <c r="H105" s="166"/>
      <c r="I105" s="166" t="s">
        <v>104</v>
      </c>
      <c r="J105" s="170"/>
      <c r="K105" s="220">
        <f>J105</f>
        <v>0</v>
      </c>
    </row>
    <row r="106" spans="1:11" ht="14.25">
      <c r="A106" s="216"/>
      <c r="B106" s="163"/>
      <c r="C106" s="166"/>
      <c r="D106" s="166"/>
      <c r="E106" s="166"/>
      <c r="F106" s="166"/>
      <c r="G106" s="166"/>
      <c r="H106" s="166"/>
      <c r="I106" s="166"/>
      <c r="J106" s="170"/>
      <c r="K106" s="220"/>
    </row>
    <row r="107" spans="1:11" ht="38.25">
      <c r="A107" s="216">
        <v>5.14</v>
      </c>
      <c r="B107" s="163" t="s">
        <v>182</v>
      </c>
      <c r="C107" s="166" t="s">
        <v>180</v>
      </c>
      <c r="D107" s="166"/>
      <c r="E107" s="166"/>
      <c r="F107" s="166"/>
      <c r="G107" s="166"/>
      <c r="H107" s="166"/>
      <c r="I107" s="166" t="s">
        <v>104</v>
      </c>
      <c r="J107" s="170"/>
      <c r="K107" s="220">
        <f>J107</f>
        <v>0</v>
      </c>
    </row>
    <row r="108" spans="1:11" ht="14.25">
      <c r="A108" s="216"/>
      <c r="B108" s="163"/>
      <c r="C108" s="166"/>
      <c r="D108" s="166"/>
      <c r="E108" s="166"/>
      <c r="F108" s="166"/>
      <c r="G108" s="166"/>
      <c r="H108" s="166"/>
      <c r="I108" s="166"/>
      <c r="J108" s="170"/>
      <c r="K108" s="220"/>
    </row>
    <row r="109" spans="1:11" ht="14.25">
      <c r="A109" s="325">
        <v>5.2</v>
      </c>
      <c r="B109" s="346" t="s">
        <v>140</v>
      </c>
      <c r="C109" s="166"/>
      <c r="D109" s="166"/>
      <c r="E109" s="166"/>
      <c r="F109" s="166"/>
      <c r="G109" s="166"/>
      <c r="H109" s="166"/>
      <c r="I109" s="166"/>
      <c r="J109" s="166"/>
      <c r="K109" s="220"/>
    </row>
    <row r="110" spans="1:11" ht="14.25">
      <c r="A110" s="322"/>
      <c r="B110" s="165"/>
      <c r="C110" s="166"/>
      <c r="D110" s="166"/>
      <c r="E110" s="166"/>
      <c r="F110" s="166"/>
      <c r="G110" s="166"/>
      <c r="H110" s="166"/>
      <c r="I110" s="166"/>
      <c r="J110" s="166"/>
      <c r="K110" s="220"/>
    </row>
    <row r="111" spans="1:11" ht="25.5">
      <c r="A111" s="216"/>
      <c r="B111" s="163" t="s">
        <v>77</v>
      </c>
      <c r="C111" s="166"/>
      <c r="D111" s="166"/>
      <c r="E111" s="166"/>
      <c r="F111" s="166"/>
      <c r="G111" s="166"/>
      <c r="H111" s="166"/>
      <c r="I111" s="166"/>
      <c r="J111" s="166"/>
      <c r="K111" s="220"/>
    </row>
    <row r="112" spans="1:11" ht="14.25">
      <c r="A112" s="343"/>
      <c r="B112" s="163"/>
      <c r="C112" s="166"/>
      <c r="D112" s="166"/>
      <c r="E112" s="166"/>
      <c r="F112" s="166"/>
      <c r="G112" s="166"/>
      <c r="H112" s="166"/>
      <c r="I112" s="166"/>
      <c r="J112" s="166"/>
      <c r="K112" s="220"/>
    </row>
    <row r="113" spans="1:11" ht="14.25">
      <c r="A113" s="216">
        <v>5.21</v>
      </c>
      <c r="B113" s="163" t="s">
        <v>251</v>
      </c>
      <c r="C113" s="166" t="s">
        <v>9</v>
      </c>
      <c r="D113" s="166"/>
      <c r="E113" s="166"/>
      <c r="F113" s="166"/>
      <c r="G113" s="166"/>
      <c r="H113" s="166"/>
      <c r="I113" s="166">
        <v>1</v>
      </c>
      <c r="J113" s="170"/>
      <c r="K113" s="220">
        <f>I113*J113</f>
        <v>0</v>
      </c>
    </row>
    <row r="114" spans="1:11" ht="14.25">
      <c r="A114" s="322"/>
      <c r="B114" s="163"/>
      <c r="C114" s="166"/>
      <c r="D114" s="166"/>
      <c r="E114" s="166"/>
      <c r="F114" s="166"/>
      <c r="G114" s="166"/>
      <c r="H114" s="166"/>
      <c r="I114" s="166"/>
      <c r="J114" s="166"/>
      <c r="K114" s="220"/>
    </row>
    <row r="115" spans="1:11" ht="14.25">
      <c r="A115" s="216">
        <v>5.22</v>
      </c>
      <c r="B115" s="165" t="s">
        <v>252</v>
      </c>
      <c r="C115" s="166" t="s">
        <v>9</v>
      </c>
      <c r="D115" s="166"/>
      <c r="E115" s="166"/>
      <c r="F115" s="166"/>
      <c r="G115" s="166"/>
      <c r="H115" s="166"/>
      <c r="I115" s="166">
        <v>1</v>
      </c>
      <c r="J115" s="170"/>
      <c r="K115" s="220">
        <f>I115*J115</f>
        <v>0</v>
      </c>
    </row>
    <row r="116" spans="1:11" ht="14.25">
      <c r="A116" s="322"/>
      <c r="B116" s="165"/>
      <c r="C116" s="166"/>
      <c r="D116" s="166"/>
      <c r="E116" s="166"/>
      <c r="F116" s="166"/>
      <c r="G116" s="166"/>
      <c r="H116" s="166"/>
      <c r="I116" s="166"/>
      <c r="J116" s="347"/>
      <c r="K116" s="220"/>
    </row>
    <row r="117" spans="1:11" ht="25.5">
      <c r="A117" s="216">
        <v>5.23</v>
      </c>
      <c r="B117" s="163" t="s">
        <v>253</v>
      </c>
      <c r="C117" s="166" t="s">
        <v>180</v>
      </c>
      <c r="D117" s="166"/>
      <c r="E117" s="166"/>
      <c r="F117" s="166"/>
      <c r="G117" s="166"/>
      <c r="H117" s="166"/>
      <c r="I117" s="166" t="s">
        <v>104</v>
      </c>
      <c r="J117" s="347"/>
      <c r="K117" s="220">
        <f>J117</f>
        <v>0</v>
      </c>
    </row>
    <row r="118" spans="1:11" ht="14.25">
      <c r="A118" s="343"/>
      <c r="B118" s="163"/>
      <c r="C118" s="166"/>
      <c r="D118" s="166"/>
      <c r="E118" s="166"/>
      <c r="F118" s="166"/>
      <c r="G118" s="166"/>
      <c r="H118" s="166"/>
      <c r="I118" s="166"/>
      <c r="J118" s="166"/>
      <c r="K118" s="220"/>
    </row>
    <row r="119" spans="1:11" s="255" customFormat="1">
      <c r="A119" s="420" t="s">
        <v>86</v>
      </c>
      <c r="B119" s="421"/>
      <c r="C119" s="421"/>
      <c r="D119" s="421"/>
      <c r="E119" s="421"/>
      <c r="F119" s="421"/>
      <c r="G119" s="421"/>
      <c r="H119" s="421"/>
      <c r="I119" s="421"/>
      <c r="J119" s="422"/>
      <c r="K119" s="254">
        <f>SUM(K94:K117)</f>
        <v>0</v>
      </c>
    </row>
    <row r="120" spans="1:11" ht="14.25">
      <c r="A120" s="216"/>
      <c r="B120" s="321"/>
      <c r="C120" s="313"/>
      <c r="D120" s="313"/>
      <c r="E120" s="313"/>
      <c r="F120" s="313"/>
      <c r="G120" s="313"/>
      <c r="H120" s="313"/>
      <c r="I120" s="313"/>
      <c r="J120" s="170"/>
      <c r="K120" s="220"/>
    </row>
    <row r="121" spans="1:11" ht="14.25">
      <c r="A121" s="256">
        <v>6</v>
      </c>
      <c r="B121" s="126" t="s">
        <v>63</v>
      </c>
      <c r="C121" s="166"/>
      <c r="D121" s="166"/>
      <c r="E121" s="166"/>
      <c r="F121" s="166"/>
      <c r="G121" s="166"/>
      <c r="H121" s="166"/>
      <c r="I121" s="166"/>
      <c r="J121" s="166"/>
      <c r="K121" s="220"/>
    </row>
    <row r="122" spans="1:11" ht="14.25">
      <c r="A122" s="325"/>
      <c r="B122" s="164"/>
      <c r="C122" s="166"/>
      <c r="D122" s="166"/>
      <c r="E122" s="166"/>
      <c r="F122" s="166"/>
      <c r="G122" s="166"/>
      <c r="H122" s="166"/>
      <c r="I122" s="166"/>
      <c r="J122" s="166"/>
      <c r="K122" s="220"/>
    </row>
    <row r="123" spans="1:11" ht="14.25">
      <c r="A123" s="325">
        <v>6.1</v>
      </c>
      <c r="B123" s="126" t="s">
        <v>204</v>
      </c>
      <c r="C123" s="166"/>
      <c r="D123" s="166"/>
      <c r="E123" s="166"/>
      <c r="F123" s="166"/>
      <c r="G123" s="166"/>
      <c r="H123" s="166"/>
      <c r="I123" s="166"/>
      <c r="J123" s="166"/>
      <c r="K123" s="220"/>
    </row>
    <row r="124" spans="1:11" ht="14.25">
      <c r="A124" s="325"/>
      <c r="B124" s="164"/>
      <c r="C124" s="166"/>
      <c r="D124" s="166"/>
      <c r="E124" s="166"/>
      <c r="F124" s="166"/>
      <c r="G124" s="166"/>
      <c r="H124" s="166"/>
      <c r="I124" s="166"/>
      <c r="J124" s="166"/>
      <c r="K124" s="220"/>
    </row>
    <row r="125" spans="1:11" ht="38.25">
      <c r="A125" s="216">
        <v>6.11</v>
      </c>
      <c r="B125" s="164" t="s">
        <v>205</v>
      </c>
      <c r="C125" s="166" t="s">
        <v>180</v>
      </c>
      <c r="D125" s="166"/>
      <c r="E125" s="166"/>
      <c r="F125" s="166"/>
      <c r="G125" s="166"/>
      <c r="H125" s="166"/>
      <c r="I125" s="166" t="s">
        <v>104</v>
      </c>
      <c r="J125" s="347"/>
      <c r="K125" s="220">
        <f>J125</f>
        <v>0</v>
      </c>
    </row>
    <row r="126" spans="1:11" ht="14.25">
      <c r="A126" s="325"/>
      <c r="B126" s="164"/>
      <c r="C126" s="166"/>
      <c r="D126" s="166"/>
      <c r="E126" s="166"/>
      <c r="F126" s="166"/>
      <c r="G126" s="166"/>
      <c r="H126" s="166"/>
      <c r="I126" s="166"/>
      <c r="J126" s="166"/>
      <c r="K126" s="220"/>
    </row>
    <row r="127" spans="1:11" ht="14.25">
      <c r="A127" s="325">
        <v>6.2</v>
      </c>
      <c r="B127" s="126" t="s">
        <v>185</v>
      </c>
      <c r="C127" s="166"/>
      <c r="D127" s="166"/>
      <c r="E127" s="166"/>
      <c r="F127" s="166"/>
      <c r="G127" s="166"/>
      <c r="H127" s="166"/>
      <c r="I127" s="166"/>
      <c r="J127" s="166"/>
      <c r="K127" s="220"/>
    </row>
    <row r="128" spans="1:11" ht="14.25">
      <c r="A128" s="216"/>
      <c r="B128" s="126"/>
      <c r="C128" s="166"/>
      <c r="D128" s="166"/>
      <c r="E128" s="166"/>
      <c r="F128" s="166"/>
      <c r="G128" s="166"/>
      <c r="H128" s="166"/>
      <c r="I128" s="166"/>
      <c r="J128" s="166"/>
      <c r="K128" s="220"/>
    </row>
    <row r="129" spans="1:11" ht="67.5" customHeight="1">
      <c r="A129" s="322"/>
      <c r="B129" s="164" t="s">
        <v>184</v>
      </c>
      <c r="C129" s="166"/>
      <c r="D129" s="166"/>
      <c r="E129" s="166"/>
      <c r="F129" s="166"/>
      <c r="G129" s="166"/>
      <c r="H129" s="166"/>
      <c r="I129" s="166"/>
      <c r="J129" s="166"/>
      <c r="K129" s="220"/>
    </row>
    <row r="130" spans="1:11" ht="14.25">
      <c r="A130" s="216"/>
      <c r="B130" s="126"/>
      <c r="C130" s="166"/>
      <c r="D130" s="166"/>
      <c r="E130" s="166"/>
      <c r="F130" s="166"/>
      <c r="G130" s="166"/>
      <c r="H130" s="166"/>
      <c r="I130" s="166"/>
      <c r="J130" s="166"/>
      <c r="K130" s="220"/>
    </row>
    <row r="131" spans="1:11" ht="14.25">
      <c r="A131" s="343">
        <v>6.21</v>
      </c>
      <c r="B131" s="164" t="s">
        <v>106</v>
      </c>
      <c r="C131" s="166" t="s">
        <v>9</v>
      </c>
      <c r="D131" s="166">
        <v>1</v>
      </c>
      <c r="E131" s="166"/>
      <c r="F131" s="166"/>
      <c r="G131" s="166"/>
      <c r="H131" s="166"/>
      <c r="I131" s="166">
        <v>1</v>
      </c>
      <c r="J131" s="170"/>
      <c r="K131" s="220">
        <f>I131*J131</f>
        <v>0</v>
      </c>
    </row>
    <row r="132" spans="1:11" ht="14.25">
      <c r="A132" s="325"/>
      <c r="B132" s="164"/>
      <c r="C132" s="166"/>
      <c r="D132" s="166"/>
      <c r="E132" s="166"/>
      <c r="F132" s="166"/>
      <c r="G132" s="166"/>
      <c r="H132" s="166"/>
      <c r="I132" s="166"/>
      <c r="J132" s="166"/>
      <c r="K132" s="220"/>
    </row>
    <row r="133" spans="1:11" ht="14.25">
      <c r="A133" s="325">
        <v>6.3</v>
      </c>
      <c r="B133" s="126" t="s">
        <v>62</v>
      </c>
      <c r="C133" s="166"/>
      <c r="D133" s="166"/>
      <c r="E133" s="166"/>
      <c r="F133" s="166"/>
      <c r="G133" s="166"/>
      <c r="H133" s="166"/>
      <c r="I133" s="166"/>
      <c r="J133" s="166"/>
      <c r="K133" s="220"/>
    </row>
    <row r="134" spans="1:11" ht="14.25">
      <c r="A134" s="216"/>
      <c r="B134" s="126"/>
      <c r="C134" s="166"/>
      <c r="D134" s="166"/>
      <c r="E134" s="166"/>
      <c r="F134" s="166"/>
      <c r="G134" s="166"/>
      <c r="H134" s="166"/>
      <c r="I134" s="166"/>
      <c r="J134" s="166"/>
      <c r="K134" s="220"/>
    </row>
    <row r="135" spans="1:11" ht="51">
      <c r="A135" s="343"/>
      <c r="B135" s="164" t="s">
        <v>122</v>
      </c>
      <c r="C135" s="166"/>
      <c r="D135" s="166"/>
      <c r="E135" s="166"/>
      <c r="F135" s="166"/>
      <c r="G135" s="166"/>
      <c r="H135" s="166"/>
      <c r="I135" s="166"/>
      <c r="J135" s="166"/>
      <c r="K135" s="220"/>
    </row>
    <row r="136" spans="1:11" ht="14.25">
      <c r="A136" s="216"/>
      <c r="B136" s="126"/>
      <c r="C136" s="166"/>
      <c r="D136" s="166"/>
      <c r="E136" s="166"/>
      <c r="F136" s="166"/>
      <c r="G136" s="166"/>
      <c r="H136" s="166"/>
      <c r="I136" s="166"/>
      <c r="J136" s="166"/>
      <c r="K136" s="220"/>
    </row>
    <row r="137" spans="1:11" ht="14.25">
      <c r="A137" s="322">
        <v>6.31</v>
      </c>
      <c r="B137" s="165" t="s">
        <v>61</v>
      </c>
      <c r="C137" s="166" t="s">
        <v>9</v>
      </c>
      <c r="D137" s="166"/>
      <c r="E137" s="166"/>
      <c r="F137" s="166"/>
      <c r="G137" s="166"/>
      <c r="H137" s="166"/>
      <c r="I137" s="166">
        <v>2</v>
      </c>
      <c r="J137" s="170"/>
      <c r="K137" s="220">
        <f>I137*J137</f>
        <v>0</v>
      </c>
    </row>
    <row r="138" spans="1:11" ht="14.25">
      <c r="A138" s="216"/>
      <c r="B138" s="165"/>
      <c r="C138" s="166"/>
      <c r="D138" s="166"/>
      <c r="E138" s="166"/>
      <c r="F138" s="166"/>
      <c r="G138" s="166"/>
      <c r="H138" s="166"/>
      <c r="I138" s="166"/>
      <c r="J138" s="166"/>
      <c r="K138" s="220"/>
    </row>
    <row r="139" spans="1:11" ht="14.25">
      <c r="A139" s="343">
        <v>6.32</v>
      </c>
      <c r="B139" s="165" t="s">
        <v>123</v>
      </c>
      <c r="C139" s="166" t="s">
        <v>9</v>
      </c>
      <c r="D139" s="166"/>
      <c r="E139" s="166"/>
      <c r="F139" s="166"/>
      <c r="G139" s="166"/>
      <c r="H139" s="166"/>
      <c r="I139" s="166">
        <v>2</v>
      </c>
      <c r="J139" s="170"/>
      <c r="K139" s="220">
        <f>I139*J139</f>
        <v>0</v>
      </c>
    </row>
    <row r="140" spans="1:11" ht="14.25">
      <c r="A140" s="325"/>
      <c r="B140" s="126"/>
      <c r="C140" s="166"/>
      <c r="D140" s="166"/>
      <c r="E140" s="166"/>
      <c r="F140" s="166"/>
      <c r="G140" s="166"/>
      <c r="H140" s="166"/>
      <c r="I140" s="166"/>
      <c r="J140" s="166"/>
      <c r="K140" s="220"/>
    </row>
    <row r="141" spans="1:11" ht="14.25">
      <c r="A141" s="325">
        <v>6.4</v>
      </c>
      <c r="B141" s="126" t="s">
        <v>143</v>
      </c>
      <c r="C141" s="166"/>
      <c r="D141" s="166"/>
      <c r="E141" s="166"/>
      <c r="F141" s="166"/>
      <c r="G141" s="166"/>
      <c r="H141" s="166"/>
      <c r="I141" s="166"/>
      <c r="J141" s="166"/>
      <c r="K141" s="220"/>
    </row>
    <row r="142" spans="1:11" ht="14.25">
      <c r="A142" s="216"/>
      <c r="B142" s="126"/>
      <c r="C142" s="166"/>
      <c r="D142" s="166"/>
      <c r="E142" s="166"/>
      <c r="F142" s="166"/>
      <c r="G142" s="166"/>
      <c r="H142" s="166"/>
      <c r="I142" s="166"/>
      <c r="J142" s="166"/>
      <c r="K142" s="220"/>
    </row>
    <row r="143" spans="1:11" ht="25.5">
      <c r="A143" s="343"/>
      <c r="B143" s="164" t="s">
        <v>124</v>
      </c>
      <c r="C143" s="166"/>
      <c r="D143" s="166"/>
      <c r="E143" s="166"/>
      <c r="F143" s="166"/>
      <c r="G143" s="166"/>
      <c r="H143" s="166"/>
      <c r="I143" s="166"/>
      <c r="J143" s="166"/>
      <c r="K143" s="220"/>
    </row>
    <row r="144" spans="1:11" ht="14.25">
      <c r="A144" s="216"/>
      <c r="B144" s="126"/>
      <c r="C144" s="166"/>
      <c r="D144" s="166"/>
      <c r="E144" s="166"/>
      <c r="F144" s="166"/>
      <c r="G144" s="166"/>
      <c r="H144" s="166"/>
      <c r="I144" s="166"/>
      <c r="J144" s="166"/>
      <c r="K144" s="220"/>
    </row>
    <row r="145" spans="1:11" ht="15.75">
      <c r="A145" s="216">
        <v>6.41</v>
      </c>
      <c r="B145" s="164" t="s">
        <v>59</v>
      </c>
      <c r="C145" s="166" t="s">
        <v>33</v>
      </c>
      <c r="D145" s="166">
        <f>1.2*1.2</f>
        <v>1.44</v>
      </c>
      <c r="E145" s="166">
        <f>0.6*0.6</f>
        <v>0.36</v>
      </c>
      <c r="F145" s="166"/>
      <c r="G145" s="166"/>
      <c r="H145" s="166" t="s">
        <v>56</v>
      </c>
      <c r="I145" s="166">
        <f>(2*D145)+(2*E145)</f>
        <v>3.5999999999999996</v>
      </c>
      <c r="J145" s="170"/>
      <c r="K145" s="220">
        <f>I145*J145</f>
        <v>0</v>
      </c>
    </row>
    <row r="146" spans="1:11" ht="14.25">
      <c r="A146" s="322"/>
      <c r="B146" s="164"/>
      <c r="C146" s="329"/>
      <c r="D146" s="329"/>
      <c r="E146" s="329"/>
      <c r="F146" s="329"/>
      <c r="G146" s="329"/>
      <c r="H146" s="329"/>
      <c r="I146" s="329"/>
      <c r="J146" s="331"/>
      <c r="K146" s="332"/>
    </row>
    <row r="147" spans="1:11" s="255" customFormat="1">
      <c r="A147" s="420" t="s">
        <v>87</v>
      </c>
      <c r="B147" s="421"/>
      <c r="C147" s="421"/>
      <c r="D147" s="421"/>
      <c r="E147" s="421"/>
      <c r="F147" s="421"/>
      <c r="G147" s="421"/>
      <c r="H147" s="421"/>
      <c r="I147" s="421"/>
      <c r="J147" s="422"/>
      <c r="K147" s="254">
        <f>SUM(K120:K146)</f>
        <v>0</v>
      </c>
    </row>
    <row r="148" spans="1:11" ht="14.25">
      <c r="A148" s="343"/>
      <c r="B148" s="321"/>
      <c r="C148" s="313"/>
      <c r="D148" s="313"/>
      <c r="E148" s="313"/>
      <c r="F148" s="313"/>
      <c r="G148" s="313"/>
      <c r="H148" s="313"/>
      <c r="I148" s="313"/>
      <c r="J148" s="170"/>
      <c r="K148" s="220"/>
    </row>
    <row r="149" spans="1:11" ht="14.25">
      <c r="A149" s="325">
        <v>7</v>
      </c>
      <c r="B149" s="316" t="s">
        <v>64</v>
      </c>
      <c r="C149" s="166"/>
      <c r="D149" s="166"/>
      <c r="E149" s="166"/>
      <c r="F149" s="166"/>
      <c r="G149" s="166"/>
      <c r="H149" s="166"/>
      <c r="I149" s="166"/>
      <c r="J149" s="166"/>
      <c r="K149" s="220"/>
    </row>
    <row r="150" spans="1:11" ht="14.25">
      <c r="A150" s="322"/>
      <c r="B150" s="167" t="s">
        <v>50</v>
      </c>
      <c r="C150" s="166"/>
      <c r="D150" s="166"/>
      <c r="E150" s="166"/>
      <c r="F150" s="166"/>
      <c r="G150" s="166"/>
      <c r="H150" s="166"/>
      <c r="I150" s="166"/>
      <c r="J150" s="166"/>
      <c r="K150" s="220"/>
    </row>
    <row r="151" spans="1:11" ht="14.25">
      <c r="A151" s="325">
        <v>7.1</v>
      </c>
      <c r="B151" s="316" t="s">
        <v>72</v>
      </c>
      <c r="C151" s="166"/>
      <c r="D151" s="166"/>
      <c r="E151" s="166"/>
      <c r="F151" s="166"/>
      <c r="G151" s="166"/>
      <c r="H151" s="166"/>
      <c r="I151" s="166"/>
      <c r="J151" s="166"/>
      <c r="K151" s="220"/>
    </row>
    <row r="152" spans="1:11">
      <c r="A152" s="216"/>
      <c r="B152" s="327"/>
      <c r="C152" s="166"/>
      <c r="D152" s="166"/>
      <c r="E152" s="166"/>
      <c r="F152" s="166"/>
      <c r="G152" s="166"/>
      <c r="H152" s="166"/>
      <c r="I152" s="166"/>
      <c r="J152" s="166"/>
      <c r="K152" s="220"/>
    </row>
    <row r="153" spans="1:11" ht="38.25">
      <c r="A153" s="216">
        <v>7.11</v>
      </c>
      <c r="B153" s="167" t="s">
        <v>186</v>
      </c>
      <c r="C153" s="313" t="s">
        <v>60</v>
      </c>
      <c r="D153" s="166">
        <v>5.25</v>
      </c>
      <c r="E153" s="166">
        <v>4.6360000000000001</v>
      </c>
      <c r="F153" s="166">
        <v>1.2</v>
      </c>
      <c r="G153" s="166"/>
      <c r="H153" s="166"/>
      <c r="I153" s="214">
        <f>(D153*E153)+(D153*F153)</f>
        <v>30.639000000000003</v>
      </c>
      <c r="J153" s="170"/>
      <c r="K153" s="220">
        <f>I153*J153</f>
        <v>0</v>
      </c>
    </row>
    <row r="154" spans="1:11" ht="14.25">
      <c r="A154" s="343"/>
      <c r="B154" s="164"/>
      <c r="C154" s="166"/>
      <c r="D154" s="166"/>
      <c r="E154" s="166"/>
      <c r="F154" s="166"/>
      <c r="G154" s="166"/>
      <c r="H154" s="166"/>
      <c r="I154" s="166"/>
      <c r="J154" s="166"/>
      <c r="K154" s="220"/>
    </row>
    <row r="155" spans="1:11" ht="14.25">
      <c r="A155" s="325">
        <v>7.2</v>
      </c>
      <c r="B155" s="316" t="s">
        <v>71</v>
      </c>
      <c r="C155" s="166"/>
      <c r="D155" s="166"/>
      <c r="E155" s="166"/>
      <c r="F155" s="166"/>
      <c r="G155" s="166"/>
      <c r="H155" s="166"/>
      <c r="I155" s="166"/>
      <c r="J155" s="166"/>
      <c r="K155" s="220"/>
    </row>
    <row r="156" spans="1:11">
      <c r="A156" s="216"/>
      <c r="B156" s="327"/>
      <c r="C156" s="166"/>
      <c r="D156" s="166"/>
      <c r="E156" s="166"/>
      <c r="F156" s="166"/>
      <c r="G156" s="166"/>
      <c r="H156" s="166"/>
      <c r="I156" s="166"/>
      <c r="J156" s="166"/>
      <c r="K156" s="220"/>
    </row>
    <row r="157" spans="1:11" ht="51">
      <c r="A157" s="216">
        <v>7.21</v>
      </c>
      <c r="B157" s="167" t="s">
        <v>187</v>
      </c>
      <c r="C157" s="166"/>
      <c r="D157" s="166"/>
      <c r="E157" s="166"/>
      <c r="F157" s="166"/>
      <c r="G157" s="166"/>
      <c r="H157" s="166"/>
      <c r="I157" s="166"/>
      <c r="J157" s="166"/>
      <c r="K157" s="220"/>
    </row>
    <row r="158" spans="1:11" ht="14.25">
      <c r="A158" s="216"/>
      <c r="B158" s="167"/>
      <c r="C158" s="166"/>
      <c r="D158" s="166"/>
      <c r="E158" s="166"/>
      <c r="F158" s="166"/>
      <c r="G158" s="166"/>
      <c r="H158" s="166"/>
      <c r="I158" s="166"/>
      <c r="J158" s="166"/>
      <c r="K158" s="220"/>
    </row>
    <row r="159" spans="1:11" ht="38.25">
      <c r="A159" s="216">
        <v>7.22</v>
      </c>
      <c r="B159" s="164" t="s">
        <v>188</v>
      </c>
      <c r="C159" s="166" t="s">
        <v>9</v>
      </c>
      <c r="D159" s="166">
        <v>10</v>
      </c>
      <c r="E159" s="166">
        <v>680</v>
      </c>
      <c r="F159" s="166">
        <v>4.5</v>
      </c>
      <c r="G159" s="166">
        <f>(75/100)*E159</f>
        <v>510</v>
      </c>
      <c r="H159" s="166"/>
      <c r="I159" s="166">
        <v>4</v>
      </c>
      <c r="J159" s="170"/>
      <c r="K159" s="220">
        <f>I159*J159</f>
        <v>0</v>
      </c>
    </row>
    <row r="160" spans="1:11" ht="14.25">
      <c r="A160" s="216"/>
      <c r="B160" s="164"/>
      <c r="C160" s="166"/>
      <c r="D160" s="166"/>
      <c r="E160" s="166"/>
      <c r="F160" s="166"/>
      <c r="G160" s="166"/>
      <c r="H160" s="166"/>
      <c r="I160" s="166"/>
      <c r="J160" s="166"/>
      <c r="K160" s="220"/>
    </row>
    <row r="161" spans="1:11" ht="38.25">
      <c r="A161" s="216">
        <v>7.23</v>
      </c>
      <c r="B161" s="167" t="s">
        <v>189</v>
      </c>
      <c r="C161" s="166"/>
      <c r="D161" s="166"/>
      <c r="E161" s="166"/>
      <c r="F161" s="166"/>
      <c r="G161" s="166"/>
      <c r="H161" s="166"/>
      <c r="I161" s="166"/>
      <c r="J161" s="166"/>
      <c r="K161" s="220"/>
    </row>
    <row r="162" spans="1:11">
      <c r="A162" s="343"/>
      <c r="B162" s="327"/>
      <c r="C162" s="166"/>
      <c r="D162" s="166"/>
      <c r="E162" s="166"/>
      <c r="F162" s="166"/>
      <c r="G162" s="166"/>
      <c r="H162" s="166"/>
      <c r="I162" s="166"/>
      <c r="J162" s="166"/>
      <c r="K162" s="220"/>
    </row>
    <row r="163" spans="1:11" ht="14.25">
      <c r="A163" s="343">
        <v>7.24</v>
      </c>
      <c r="B163" s="164" t="s">
        <v>190</v>
      </c>
      <c r="C163" s="166" t="s">
        <v>3</v>
      </c>
      <c r="D163" s="166">
        <v>4</v>
      </c>
      <c r="E163" s="166">
        <f>E4</f>
        <v>4</v>
      </c>
      <c r="F163" s="166"/>
      <c r="G163" s="166"/>
      <c r="H163" s="166" t="s">
        <v>76</v>
      </c>
      <c r="I163" s="166">
        <f>D163*E163</f>
        <v>16</v>
      </c>
      <c r="J163" s="170"/>
      <c r="K163" s="220">
        <f>I163*J163</f>
        <v>0</v>
      </c>
    </row>
    <row r="164" spans="1:11" ht="14.25">
      <c r="A164" s="348"/>
      <c r="B164" s="164"/>
      <c r="C164" s="166"/>
      <c r="D164" s="166"/>
      <c r="E164" s="166"/>
      <c r="F164" s="166"/>
      <c r="G164" s="166"/>
      <c r="H164" s="166"/>
      <c r="I164" s="166"/>
      <c r="J164" s="166"/>
      <c r="K164" s="220"/>
    </row>
    <row r="165" spans="1:11" ht="25.5">
      <c r="A165" s="322">
        <v>7.25</v>
      </c>
      <c r="B165" s="164" t="s">
        <v>191</v>
      </c>
      <c r="C165" s="166" t="s">
        <v>3</v>
      </c>
      <c r="D165" s="166">
        <f>D4</f>
        <v>4.6500000000000004</v>
      </c>
      <c r="E165" s="166">
        <f>E4</f>
        <v>4</v>
      </c>
      <c r="F165" s="166"/>
      <c r="G165" s="166"/>
      <c r="H165" s="166"/>
      <c r="I165" s="166">
        <f>(D165*2)+(E165*2)</f>
        <v>17.3</v>
      </c>
      <c r="J165" s="170"/>
      <c r="K165" s="220">
        <f>I165*J165</f>
        <v>0</v>
      </c>
    </row>
    <row r="166" spans="1:11" ht="14.25">
      <c r="A166" s="348"/>
      <c r="B166" s="164"/>
      <c r="C166" s="166"/>
      <c r="D166" s="166"/>
      <c r="E166" s="166"/>
      <c r="F166" s="166"/>
      <c r="G166" s="166"/>
      <c r="H166" s="166"/>
      <c r="I166" s="166"/>
      <c r="J166" s="166"/>
      <c r="K166" s="220"/>
    </row>
    <row r="167" spans="1:11" ht="14.25">
      <c r="A167" s="216">
        <v>7.26</v>
      </c>
      <c r="B167" s="164" t="s">
        <v>125</v>
      </c>
      <c r="C167" s="166" t="s">
        <v>3</v>
      </c>
      <c r="D167" s="166">
        <f>D165+1.2</f>
        <v>5.8500000000000005</v>
      </c>
      <c r="E167" s="166">
        <f>E165+1.2</f>
        <v>5.2</v>
      </c>
      <c r="F167" s="166"/>
      <c r="G167" s="166"/>
      <c r="H167" s="166"/>
      <c r="I167" s="166">
        <f>(D167*2)+(E167*2)</f>
        <v>22.1</v>
      </c>
      <c r="J167" s="166"/>
      <c r="K167" s="220">
        <f>I167*J167</f>
        <v>0</v>
      </c>
    </row>
    <row r="168" spans="1:11" ht="14.25">
      <c r="A168" s="349"/>
      <c r="B168" s="164"/>
      <c r="C168" s="166"/>
      <c r="D168" s="166"/>
      <c r="E168" s="166"/>
      <c r="F168" s="166"/>
      <c r="G168" s="166"/>
      <c r="H168" s="166"/>
      <c r="I168" s="166"/>
      <c r="J168" s="170"/>
      <c r="K168" s="220"/>
    </row>
    <row r="169" spans="1:11" ht="14.25">
      <c r="A169" s="325">
        <v>7.3</v>
      </c>
      <c r="B169" s="316" t="s">
        <v>192</v>
      </c>
      <c r="C169" s="166"/>
      <c r="D169" s="166"/>
      <c r="E169" s="166"/>
      <c r="F169" s="166"/>
      <c r="G169" s="166"/>
      <c r="H169" s="166"/>
      <c r="I169" s="166"/>
      <c r="J169" s="166"/>
      <c r="K169" s="220"/>
    </row>
    <row r="170" spans="1:11" ht="14.25">
      <c r="A170" s="349"/>
      <c r="B170" s="164"/>
      <c r="C170" s="166"/>
      <c r="D170" s="166"/>
      <c r="E170" s="166"/>
      <c r="F170" s="166"/>
      <c r="G170" s="166"/>
      <c r="H170" s="166"/>
      <c r="I170" s="166"/>
      <c r="J170" s="170"/>
      <c r="K170" s="220"/>
    </row>
    <row r="171" spans="1:11" ht="25.5">
      <c r="A171" s="322">
        <v>7.31</v>
      </c>
      <c r="B171" s="164" t="s">
        <v>194</v>
      </c>
      <c r="C171" s="166" t="s">
        <v>60</v>
      </c>
      <c r="D171" s="166"/>
      <c r="E171" s="166"/>
      <c r="F171" s="166"/>
      <c r="G171" s="166"/>
      <c r="H171" s="166"/>
      <c r="I171" s="166">
        <f>D173*E173</f>
        <v>18.600000000000001</v>
      </c>
      <c r="J171" s="166"/>
      <c r="K171" s="220">
        <f>I171*J171</f>
        <v>0</v>
      </c>
    </row>
    <row r="172" spans="1:11" ht="14.25">
      <c r="A172" s="349"/>
      <c r="B172" s="164"/>
      <c r="C172" s="166"/>
      <c r="D172" s="166"/>
      <c r="E172" s="166"/>
      <c r="F172" s="166"/>
      <c r="G172" s="166"/>
      <c r="H172" s="166"/>
      <c r="I172" s="166"/>
      <c r="J172" s="170"/>
      <c r="K172" s="220"/>
    </row>
    <row r="173" spans="1:11" ht="14.25">
      <c r="A173" s="322">
        <v>7.32</v>
      </c>
      <c r="B173" s="164" t="s">
        <v>193</v>
      </c>
      <c r="C173" s="166" t="s">
        <v>3</v>
      </c>
      <c r="D173" s="166">
        <f>D4</f>
        <v>4.6500000000000004</v>
      </c>
      <c r="E173" s="166">
        <f>E4</f>
        <v>4</v>
      </c>
      <c r="F173" s="166"/>
      <c r="G173" s="166"/>
      <c r="H173" s="166"/>
      <c r="I173" s="166">
        <f>(D173*2)+(E173*4)</f>
        <v>25.3</v>
      </c>
      <c r="J173" s="166"/>
      <c r="K173" s="220">
        <f>I173*J173</f>
        <v>0</v>
      </c>
    </row>
    <row r="174" spans="1:11" ht="14.25">
      <c r="A174" s="349"/>
      <c r="B174" s="213"/>
      <c r="C174" s="166"/>
      <c r="D174" s="166"/>
      <c r="E174" s="166"/>
      <c r="F174" s="166"/>
      <c r="G174" s="166"/>
      <c r="H174" s="166"/>
      <c r="I174" s="166"/>
      <c r="J174" s="166"/>
      <c r="K174" s="220"/>
    </row>
    <row r="175" spans="1:11" ht="14.25">
      <c r="A175" s="325">
        <v>7.4</v>
      </c>
      <c r="B175" s="316" t="s">
        <v>198</v>
      </c>
      <c r="C175" s="166"/>
      <c r="D175" s="166"/>
      <c r="E175" s="166"/>
      <c r="F175" s="166"/>
      <c r="G175" s="166"/>
      <c r="H175" s="166"/>
      <c r="I175" s="166"/>
      <c r="J175" s="166"/>
      <c r="K175" s="220"/>
    </row>
    <row r="176" spans="1:11" ht="14.25">
      <c r="A176" s="216"/>
      <c r="B176" s="167"/>
      <c r="C176" s="166"/>
      <c r="D176" s="166"/>
      <c r="E176" s="166"/>
      <c r="F176" s="166"/>
      <c r="G176" s="166"/>
      <c r="H176" s="166"/>
      <c r="I176" s="166"/>
      <c r="J176" s="166"/>
      <c r="K176" s="220"/>
    </row>
    <row r="177" spans="1:11" ht="38.25">
      <c r="A177" s="216">
        <v>7.41</v>
      </c>
      <c r="B177" s="167" t="s">
        <v>290</v>
      </c>
      <c r="C177" s="166" t="s">
        <v>9</v>
      </c>
      <c r="D177" s="166"/>
      <c r="E177" s="166"/>
      <c r="F177" s="166"/>
      <c r="G177" s="166"/>
      <c r="H177" s="166"/>
      <c r="I177" s="166">
        <v>1</v>
      </c>
      <c r="J177" s="166"/>
      <c r="K177" s="220">
        <f>I177*J177</f>
        <v>0</v>
      </c>
    </row>
    <row r="178" spans="1:11" ht="14.25">
      <c r="A178" s="216"/>
      <c r="B178" s="167"/>
      <c r="C178" s="166"/>
      <c r="D178" s="166"/>
      <c r="E178" s="166"/>
      <c r="F178" s="166"/>
      <c r="G178" s="166"/>
      <c r="H178" s="166"/>
      <c r="I178" s="166"/>
      <c r="J178" s="166"/>
      <c r="K178" s="220"/>
    </row>
    <row r="179" spans="1:11" ht="14.25">
      <c r="A179" s="322"/>
      <c r="B179" s="257"/>
      <c r="C179" s="172"/>
      <c r="D179" s="142"/>
      <c r="E179" s="142"/>
      <c r="F179" s="142"/>
      <c r="G179" s="142"/>
      <c r="H179" s="142"/>
      <c r="I179" s="172"/>
      <c r="J179" s="150"/>
      <c r="K179" s="173"/>
    </row>
    <row r="180" spans="1:11" s="255" customFormat="1">
      <c r="A180" s="420" t="s">
        <v>110</v>
      </c>
      <c r="B180" s="421"/>
      <c r="C180" s="421"/>
      <c r="D180" s="421"/>
      <c r="E180" s="421"/>
      <c r="F180" s="421"/>
      <c r="G180" s="421"/>
      <c r="H180" s="421"/>
      <c r="I180" s="421"/>
      <c r="J180" s="422"/>
      <c r="K180" s="254">
        <f>SUM(K148:K179)</f>
        <v>0</v>
      </c>
    </row>
    <row r="181" spans="1:11" ht="14.25">
      <c r="A181" s="348"/>
      <c r="B181" s="321"/>
      <c r="C181" s="313"/>
      <c r="D181" s="313"/>
      <c r="E181" s="313"/>
      <c r="F181" s="313"/>
      <c r="G181" s="313"/>
      <c r="H181" s="313"/>
      <c r="I181" s="313"/>
      <c r="J181" s="170"/>
      <c r="K181" s="220"/>
    </row>
    <row r="182" spans="1:11" ht="14.25">
      <c r="A182" s="325">
        <v>8</v>
      </c>
      <c r="B182" s="126" t="s">
        <v>58</v>
      </c>
      <c r="C182" s="166"/>
      <c r="D182" s="166"/>
      <c r="E182" s="166"/>
      <c r="F182" s="166"/>
      <c r="G182" s="166"/>
      <c r="H182" s="166"/>
      <c r="I182" s="166"/>
      <c r="J182" s="166"/>
      <c r="K182" s="220"/>
    </row>
    <row r="183" spans="1:11" ht="14.25">
      <c r="A183" s="322"/>
      <c r="B183" s="164"/>
      <c r="C183" s="166"/>
      <c r="D183" s="166"/>
      <c r="E183" s="166"/>
      <c r="F183" s="166"/>
      <c r="G183" s="166"/>
      <c r="H183" s="166"/>
      <c r="I183" s="166"/>
      <c r="J183" s="166"/>
      <c r="K183" s="220"/>
    </row>
    <row r="184" spans="1:11" ht="14.25">
      <c r="A184" s="325">
        <v>8.1</v>
      </c>
      <c r="B184" s="126" t="s">
        <v>130</v>
      </c>
      <c r="C184" s="166"/>
      <c r="D184" s="166"/>
      <c r="E184" s="166"/>
      <c r="F184" s="166"/>
      <c r="G184" s="166"/>
      <c r="H184" s="166"/>
      <c r="I184" s="166"/>
      <c r="J184" s="166"/>
      <c r="K184" s="220"/>
    </row>
    <row r="185" spans="1:11" ht="14.25">
      <c r="A185" s="348"/>
      <c r="B185" s="350"/>
      <c r="C185" s="166"/>
      <c r="D185" s="166"/>
      <c r="E185" s="166"/>
      <c r="F185" s="166"/>
      <c r="G185" s="166"/>
      <c r="H185" s="166"/>
      <c r="I185" s="166"/>
      <c r="J185" s="166"/>
      <c r="K185" s="220"/>
    </row>
    <row r="186" spans="1:11" ht="25.5">
      <c r="A186" s="216"/>
      <c r="B186" s="164" t="s">
        <v>195</v>
      </c>
      <c r="C186" s="166"/>
      <c r="D186" s="166"/>
      <c r="E186" s="166"/>
      <c r="F186" s="166"/>
      <c r="G186" s="166"/>
      <c r="H186" s="166"/>
      <c r="I186" s="166"/>
      <c r="J186" s="166"/>
      <c r="K186" s="220"/>
    </row>
    <row r="187" spans="1:11" ht="14.25">
      <c r="A187" s="216"/>
      <c r="B187" s="350"/>
      <c r="C187" s="166"/>
      <c r="D187" s="166"/>
      <c r="E187" s="166"/>
      <c r="F187" s="166"/>
      <c r="G187" s="166"/>
      <c r="H187" s="166"/>
      <c r="I187" s="166"/>
      <c r="J187" s="166"/>
      <c r="K187" s="220"/>
    </row>
    <row r="188" spans="1:11" ht="15.75">
      <c r="A188" s="216">
        <v>8.11</v>
      </c>
      <c r="B188" s="164" t="s">
        <v>196</v>
      </c>
      <c r="C188" s="166" t="s">
        <v>33</v>
      </c>
      <c r="D188" s="166"/>
      <c r="E188" s="166"/>
      <c r="F188" s="166"/>
      <c r="G188" s="166"/>
      <c r="H188" s="166"/>
      <c r="I188" s="214">
        <f>I74-I208</f>
        <v>64.433999999999997</v>
      </c>
      <c r="J188" s="166"/>
      <c r="K188" s="220">
        <f>I188*J188</f>
        <v>0</v>
      </c>
    </row>
    <row r="189" spans="1:11" ht="14.25">
      <c r="A189" s="216"/>
      <c r="B189" s="164"/>
      <c r="C189" s="166"/>
      <c r="D189" s="166"/>
      <c r="E189" s="166"/>
      <c r="F189" s="166"/>
      <c r="G189" s="166"/>
      <c r="H189" s="166"/>
      <c r="I189" s="166"/>
      <c r="J189" s="166"/>
      <c r="K189" s="220"/>
    </row>
    <row r="190" spans="1:11" ht="15.75">
      <c r="A190" s="216">
        <v>8.1199999999999992</v>
      </c>
      <c r="B190" s="164" t="s">
        <v>197</v>
      </c>
      <c r="C190" s="166" t="s">
        <v>33</v>
      </c>
      <c r="D190" s="166"/>
      <c r="E190" s="166"/>
      <c r="F190" s="166"/>
      <c r="G190" s="166"/>
      <c r="H190" s="166"/>
      <c r="I190" s="166">
        <f>I171</f>
        <v>18.600000000000001</v>
      </c>
      <c r="J190" s="166"/>
      <c r="K190" s="220">
        <f>I190*J190</f>
        <v>0</v>
      </c>
    </row>
    <row r="191" spans="1:11" ht="14.25">
      <c r="A191" s="216"/>
      <c r="B191" s="350"/>
      <c r="C191" s="166"/>
      <c r="D191" s="166"/>
      <c r="E191" s="166"/>
      <c r="F191" s="166"/>
      <c r="G191" s="166"/>
      <c r="H191" s="166"/>
      <c r="I191" s="166"/>
      <c r="J191" s="166"/>
      <c r="K191" s="220"/>
    </row>
    <row r="192" spans="1:11" ht="14.25">
      <c r="A192" s="216">
        <v>8.1300000000000008</v>
      </c>
      <c r="B192" s="164" t="s">
        <v>129</v>
      </c>
      <c r="C192" s="166"/>
      <c r="D192" s="166"/>
      <c r="E192" s="166"/>
      <c r="F192" s="166"/>
      <c r="G192" s="166"/>
      <c r="H192" s="166"/>
      <c r="I192" s="166"/>
      <c r="J192" s="166"/>
      <c r="K192" s="220"/>
    </row>
    <row r="193" spans="1:11" ht="14.25">
      <c r="A193" s="216"/>
      <c r="B193" s="126"/>
      <c r="C193" s="166"/>
      <c r="D193" s="166"/>
      <c r="E193" s="166"/>
      <c r="F193" s="166"/>
      <c r="G193" s="166"/>
      <c r="H193" s="166"/>
      <c r="I193" s="166"/>
      <c r="J193" s="166"/>
      <c r="K193" s="220"/>
    </row>
    <row r="194" spans="1:11" ht="15.75">
      <c r="A194" s="216">
        <v>8.14</v>
      </c>
      <c r="B194" s="164" t="s">
        <v>57</v>
      </c>
      <c r="C194" s="166" t="s">
        <v>33</v>
      </c>
      <c r="D194" s="166">
        <f>I167</f>
        <v>22.1</v>
      </c>
      <c r="E194" s="166"/>
      <c r="F194" s="166">
        <v>0.2</v>
      </c>
      <c r="G194" s="166"/>
      <c r="H194" s="166"/>
      <c r="I194" s="214">
        <f>D194*F194</f>
        <v>4.4200000000000008</v>
      </c>
      <c r="J194" s="170"/>
      <c r="K194" s="220">
        <f>I194*J194</f>
        <v>0</v>
      </c>
    </row>
    <row r="195" spans="1:11" ht="14.25">
      <c r="A195" s="216"/>
      <c r="B195" s="164"/>
      <c r="C195" s="166"/>
      <c r="D195" s="166"/>
      <c r="E195" s="166"/>
      <c r="F195" s="166"/>
      <c r="G195" s="166"/>
      <c r="H195" s="166"/>
      <c r="I195" s="166"/>
      <c r="J195" s="166"/>
      <c r="K195" s="220"/>
    </row>
    <row r="196" spans="1:11" ht="14.25">
      <c r="A196" s="216">
        <v>8.15</v>
      </c>
      <c r="B196" s="164" t="s">
        <v>200</v>
      </c>
      <c r="C196" s="166" t="s">
        <v>180</v>
      </c>
      <c r="D196" s="166"/>
      <c r="E196" s="166"/>
      <c r="F196" s="166"/>
      <c r="G196" s="166"/>
      <c r="H196" s="166"/>
      <c r="I196" s="166" t="s">
        <v>104</v>
      </c>
      <c r="J196" s="170"/>
      <c r="K196" s="220">
        <f>J196</f>
        <v>0</v>
      </c>
    </row>
    <row r="197" spans="1:11" ht="14.25">
      <c r="A197" s="216"/>
      <c r="B197" s="164"/>
      <c r="C197" s="166"/>
      <c r="D197" s="166"/>
      <c r="E197" s="166"/>
      <c r="F197" s="166"/>
      <c r="G197" s="166"/>
      <c r="H197" s="166"/>
      <c r="I197" s="166"/>
      <c r="J197" s="166"/>
      <c r="K197" s="220"/>
    </row>
    <row r="198" spans="1:11" ht="14.25">
      <c r="A198" s="216">
        <v>8.16</v>
      </c>
      <c r="B198" s="164" t="s">
        <v>201</v>
      </c>
      <c r="C198" s="166" t="s">
        <v>180</v>
      </c>
      <c r="D198" s="166"/>
      <c r="E198" s="166"/>
      <c r="F198" s="166"/>
      <c r="G198" s="166"/>
      <c r="H198" s="166"/>
      <c r="I198" s="166" t="s">
        <v>104</v>
      </c>
      <c r="J198" s="170"/>
      <c r="K198" s="220">
        <f>J198</f>
        <v>0</v>
      </c>
    </row>
    <row r="199" spans="1:11" ht="14.25">
      <c r="A199" s="216"/>
      <c r="B199" s="164"/>
      <c r="C199" s="166"/>
      <c r="D199" s="166"/>
      <c r="E199" s="166"/>
      <c r="F199" s="166"/>
      <c r="G199" s="166"/>
      <c r="H199" s="166"/>
      <c r="I199" s="166"/>
      <c r="J199" s="166"/>
      <c r="K199" s="220"/>
    </row>
    <row r="200" spans="1:11" ht="14.25">
      <c r="A200" s="325">
        <v>8.1999999999999993</v>
      </c>
      <c r="B200" s="126" t="s">
        <v>78</v>
      </c>
      <c r="C200" s="166"/>
      <c r="D200" s="166"/>
      <c r="E200" s="166"/>
      <c r="F200" s="166"/>
      <c r="G200" s="166"/>
      <c r="H200" s="166"/>
      <c r="I200" s="166"/>
      <c r="J200" s="166"/>
      <c r="K200" s="220"/>
    </row>
    <row r="201" spans="1:11" ht="14.25">
      <c r="A201" s="322"/>
      <c r="B201" s="164"/>
      <c r="C201" s="166"/>
      <c r="D201" s="166"/>
      <c r="E201" s="166"/>
      <c r="F201" s="166"/>
      <c r="G201" s="166"/>
      <c r="H201" s="166"/>
      <c r="I201" s="166"/>
      <c r="J201" s="166"/>
      <c r="K201" s="220"/>
    </row>
    <row r="202" spans="1:11" ht="25.5">
      <c r="A202" s="348"/>
      <c r="B202" s="164" t="s">
        <v>126</v>
      </c>
      <c r="C202" s="166"/>
      <c r="D202" s="166"/>
      <c r="E202" s="166"/>
      <c r="F202" s="166"/>
      <c r="G202" s="166"/>
      <c r="H202" s="166"/>
      <c r="I202" s="166"/>
      <c r="J202" s="166"/>
      <c r="K202" s="220"/>
    </row>
    <row r="203" spans="1:11" ht="14.25">
      <c r="A203" s="348"/>
      <c r="B203" s="164"/>
      <c r="C203" s="166"/>
      <c r="D203" s="166"/>
      <c r="E203" s="166"/>
      <c r="F203" s="166"/>
      <c r="G203" s="166"/>
      <c r="H203" s="166"/>
      <c r="I203" s="166"/>
      <c r="J203" s="166"/>
      <c r="K203" s="220"/>
    </row>
    <row r="204" spans="1:11" ht="15.75">
      <c r="A204" s="322">
        <v>8.2100000000000009</v>
      </c>
      <c r="B204" s="164" t="s">
        <v>258</v>
      </c>
      <c r="C204" s="166" t="s">
        <v>33</v>
      </c>
      <c r="D204" s="166">
        <v>4.3499999999999996</v>
      </c>
      <c r="E204" s="166">
        <v>3.7</v>
      </c>
      <c r="F204" s="166"/>
      <c r="G204" s="166"/>
      <c r="H204" s="166"/>
      <c r="I204" s="214">
        <f>D204*E204</f>
        <v>16.094999999999999</v>
      </c>
      <c r="J204" s="170"/>
      <c r="K204" s="220">
        <f>I204*J204</f>
        <v>0</v>
      </c>
    </row>
    <row r="205" spans="1:11" ht="14.25">
      <c r="A205" s="348"/>
      <c r="B205" s="164"/>
      <c r="C205" s="166"/>
      <c r="D205" s="166"/>
      <c r="E205" s="166"/>
      <c r="F205" s="166"/>
      <c r="G205" s="166"/>
      <c r="H205" s="166"/>
      <c r="I205" s="166"/>
      <c r="J205" s="166"/>
      <c r="K205" s="220"/>
    </row>
    <row r="206" spans="1:11" ht="15.75">
      <c r="A206" s="322">
        <v>8.2200000000000006</v>
      </c>
      <c r="B206" s="164" t="s">
        <v>202</v>
      </c>
      <c r="C206" s="166" t="s">
        <v>33</v>
      </c>
      <c r="D206" s="166">
        <v>0.1</v>
      </c>
      <c r="E206" s="166"/>
      <c r="F206" s="166"/>
      <c r="G206" s="166"/>
      <c r="H206" s="166"/>
      <c r="I206" s="214">
        <f>((D204*2)+(E204*4)-(0.9*2))*D206</f>
        <v>2.17</v>
      </c>
      <c r="J206" s="166"/>
      <c r="K206" s="220">
        <f>I206*J206</f>
        <v>0</v>
      </c>
    </row>
    <row r="207" spans="1:11" ht="14.25">
      <c r="A207" s="322"/>
      <c r="B207" s="164"/>
      <c r="C207" s="166"/>
      <c r="D207" s="166"/>
      <c r="E207" s="166"/>
      <c r="F207" s="166"/>
      <c r="G207" s="166"/>
      <c r="H207" s="166"/>
      <c r="I207" s="166"/>
      <c r="J207" s="170"/>
      <c r="K207" s="220"/>
    </row>
    <row r="208" spans="1:11" ht="25.5">
      <c r="A208" s="216">
        <v>8.23</v>
      </c>
      <c r="B208" s="164" t="s">
        <v>259</v>
      </c>
      <c r="C208" s="166" t="s">
        <v>33</v>
      </c>
      <c r="D208" s="166">
        <v>1.2</v>
      </c>
      <c r="E208" s="166">
        <v>3.7</v>
      </c>
      <c r="F208" s="166">
        <v>1.5</v>
      </c>
      <c r="G208" s="166"/>
      <c r="H208" s="166"/>
      <c r="I208" s="214">
        <f>(D208*E208*F208)-(1.5*0.9)</f>
        <v>5.3100000000000005</v>
      </c>
      <c r="J208" s="170"/>
      <c r="K208" s="220">
        <f>I208*J208</f>
        <v>0</v>
      </c>
    </row>
    <row r="209" spans="1:11" ht="14.25">
      <c r="A209" s="322"/>
      <c r="B209" s="164"/>
      <c r="C209" s="172"/>
      <c r="D209" s="142"/>
      <c r="E209" s="142"/>
      <c r="F209" s="142"/>
      <c r="G209" s="142"/>
      <c r="H209" s="142"/>
      <c r="I209" s="172"/>
      <c r="J209" s="150"/>
      <c r="K209" s="173"/>
    </row>
    <row r="210" spans="1:11" s="255" customFormat="1">
      <c r="A210" s="420" t="s">
        <v>89</v>
      </c>
      <c r="B210" s="421"/>
      <c r="C210" s="421"/>
      <c r="D210" s="421"/>
      <c r="E210" s="421"/>
      <c r="F210" s="421"/>
      <c r="G210" s="421"/>
      <c r="H210" s="421"/>
      <c r="I210" s="421"/>
      <c r="J210" s="422"/>
      <c r="K210" s="254">
        <f>SUM(K181:K209)</f>
        <v>0</v>
      </c>
    </row>
    <row r="211" spans="1:11" s="255" customFormat="1">
      <c r="A211" s="348"/>
      <c r="B211" s="164"/>
      <c r="C211" s="313"/>
      <c r="D211" s="313"/>
      <c r="E211" s="313"/>
      <c r="F211" s="313"/>
      <c r="G211" s="313"/>
      <c r="H211" s="313"/>
      <c r="I211" s="313"/>
      <c r="J211" s="170"/>
      <c r="K211" s="220"/>
    </row>
    <row r="212" spans="1:11" s="255" customFormat="1">
      <c r="A212" s="325">
        <v>9</v>
      </c>
      <c r="B212" s="126" t="s">
        <v>206</v>
      </c>
      <c r="C212" s="166"/>
      <c r="D212" s="166"/>
      <c r="E212" s="166"/>
      <c r="F212" s="166"/>
      <c r="G212" s="166"/>
      <c r="H212" s="166"/>
      <c r="I212" s="166"/>
      <c r="J212" s="166"/>
      <c r="K212" s="220"/>
    </row>
    <row r="213" spans="1:11" s="255" customFormat="1">
      <c r="A213" s="348"/>
      <c r="B213" s="164"/>
      <c r="C213" s="166"/>
      <c r="D213" s="166"/>
      <c r="E213" s="166"/>
      <c r="F213" s="166"/>
      <c r="G213" s="166"/>
      <c r="H213" s="166"/>
      <c r="I213" s="166"/>
      <c r="J213" s="347"/>
      <c r="K213" s="220"/>
    </row>
    <row r="214" spans="1:11" s="255" customFormat="1" ht="38.25">
      <c r="A214" s="322">
        <v>9.1</v>
      </c>
      <c r="B214" s="164" t="s">
        <v>207</v>
      </c>
      <c r="C214" s="166" t="s">
        <v>33</v>
      </c>
      <c r="D214" s="166"/>
      <c r="E214" s="166"/>
      <c r="F214" s="166"/>
      <c r="G214" s="166"/>
      <c r="H214" s="166"/>
      <c r="I214" s="214">
        <f>22.1*1.2</f>
        <v>26.52</v>
      </c>
      <c r="J214" s="170"/>
      <c r="K214" s="220">
        <f>I214*J214</f>
        <v>0</v>
      </c>
    </row>
    <row r="215" spans="1:11" ht="14.25">
      <c r="A215" s="256"/>
      <c r="B215" s="257"/>
      <c r="C215" s="172"/>
      <c r="D215" s="142"/>
      <c r="E215" s="142"/>
      <c r="F215" s="142"/>
      <c r="G215" s="142"/>
      <c r="H215" s="142"/>
      <c r="I215" s="172"/>
      <c r="J215" s="150"/>
      <c r="K215" s="173"/>
    </row>
    <row r="216" spans="1:11" s="255" customFormat="1">
      <c r="A216" s="420" t="s">
        <v>128</v>
      </c>
      <c r="B216" s="421"/>
      <c r="C216" s="421"/>
      <c r="D216" s="421"/>
      <c r="E216" s="421"/>
      <c r="F216" s="421"/>
      <c r="G216" s="421"/>
      <c r="H216" s="421"/>
      <c r="I216" s="421"/>
      <c r="J216" s="422"/>
      <c r="K216" s="254">
        <f>SUM(K211:K214)</f>
        <v>0</v>
      </c>
    </row>
    <row r="217" spans="1:11" s="255" customFormat="1">
      <c r="A217" s="348"/>
      <c r="B217" s="164"/>
      <c r="C217" s="313"/>
      <c r="D217" s="313"/>
      <c r="E217" s="313"/>
      <c r="F217" s="313"/>
      <c r="G217" s="313"/>
      <c r="H217" s="313"/>
      <c r="I217" s="313"/>
      <c r="J217" s="170"/>
      <c r="K217" s="220"/>
    </row>
    <row r="218" spans="1:11" s="255" customFormat="1">
      <c r="A218" s="325">
        <v>10</v>
      </c>
      <c r="B218" s="126" t="s">
        <v>109</v>
      </c>
      <c r="C218" s="166"/>
      <c r="D218" s="166"/>
      <c r="E218" s="166"/>
      <c r="F218" s="166"/>
      <c r="G218" s="166"/>
      <c r="H218" s="166"/>
      <c r="I218" s="166"/>
      <c r="J218" s="166"/>
      <c r="K218" s="220"/>
    </row>
    <row r="219" spans="1:11" s="255" customFormat="1">
      <c r="A219" s="348"/>
      <c r="B219" s="164"/>
      <c r="C219" s="166"/>
      <c r="D219" s="166"/>
      <c r="E219" s="166"/>
      <c r="F219" s="166"/>
      <c r="G219" s="166"/>
      <c r="H219" s="166"/>
      <c r="I219" s="166"/>
      <c r="J219" s="347"/>
      <c r="K219" s="220"/>
    </row>
    <row r="220" spans="1:11" s="255" customFormat="1" ht="84" customHeight="1">
      <c r="A220" s="322">
        <v>10.1</v>
      </c>
      <c r="B220" s="164" t="s">
        <v>203</v>
      </c>
      <c r="C220" s="166" t="s">
        <v>104</v>
      </c>
      <c r="D220" s="166"/>
      <c r="E220" s="166"/>
      <c r="F220" s="166"/>
      <c r="G220" s="166"/>
      <c r="H220" s="166"/>
      <c r="I220" s="166">
        <v>1</v>
      </c>
      <c r="J220" s="170"/>
      <c r="K220" s="220">
        <f>J220</f>
        <v>0</v>
      </c>
    </row>
    <row r="221" spans="1:11" ht="14.25">
      <c r="A221" s="256"/>
      <c r="B221" s="257"/>
      <c r="C221" s="172"/>
      <c r="D221" s="142"/>
      <c r="E221" s="142"/>
      <c r="F221" s="142"/>
      <c r="G221" s="142"/>
      <c r="H221" s="142"/>
      <c r="I221" s="172"/>
      <c r="J221" s="150"/>
      <c r="K221" s="173"/>
    </row>
    <row r="222" spans="1:11" s="255" customFormat="1">
      <c r="A222" s="420" t="s">
        <v>144</v>
      </c>
      <c r="B222" s="421"/>
      <c r="C222" s="421"/>
      <c r="D222" s="421"/>
      <c r="E222" s="421"/>
      <c r="F222" s="421"/>
      <c r="G222" s="421"/>
      <c r="H222" s="421"/>
      <c r="I222" s="421"/>
      <c r="J222" s="422"/>
      <c r="K222" s="254">
        <f>SUM(K217:K220)</f>
        <v>0</v>
      </c>
    </row>
    <row r="223" spans="1:11" ht="14.25">
      <c r="A223" s="351"/>
      <c r="B223" s="352"/>
      <c r="C223" s="166"/>
      <c r="D223" s="166"/>
      <c r="E223" s="166"/>
      <c r="F223" s="166"/>
      <c r="G223" s="166"/>
      <c r="H223" s="166"/>
      <c r="I223" s="166"/>
      <c r="J223" s="353"/>
      <c r="K223" s="354"/>
    </row>
    <row r="224" spans="1:11" ht="14.25">
      <c r="A224" s="325">
        <v>11</v>
      </c>
      <c r="B224" s="355" t="s">
        <v>147</v>
      </c>
      <c r="C224" s="313"/>
      <c r="D224" s="8"/>
      <c r="E224" s="8"/>
      <c r="F224" s="8"/>
      <c r="G224" s="8"/>
      <c r="H224" s="8"/>
      <c r="I224" s="8"/>
      <c r="J224" s="220"/>
      <c r="K224" s="220"/>
    </row>
    <row r="225" spans="1:11" ht="14.25">
      <c r="A225" s="325"/>
      <c r="B225" s="356"/>
      <c r="C225" s="329"/>
      <c r="D225" s="195"/>
      <c r="E225" s="195"/>
      <c r="F225" s="195"/>
      <c r="G225" s="195"/>
      <c r="H225" s="195"/>
      <c r="I225" s="195"/>
      <c r="J225" s="354"/>
      <c r="K225" s="220"/>
    </row>
    <row r="226" spans="1:11" ht="14.25">
      <c r="A226" s="357">
        <v>11.1</v>
      </c>
      <c r="B226" s="139" t="s">
        <v>289</v>
      </c>
      <c r="C226" s="166" t="s">
        <v>104</v>
      </c>
      <c r="D226" s="23"/>
      <c r="E226" s="23"/>
      <c r="F226" s="23"/>
      <c r="G226" s="23"/>
      <c r="H226" s="23"/>
      <c r="I226" s="23">
        <v>1</v>
      </c>
      <c r="J226" s="354"/>
      <c r="K226" s="220">
        <f>I226*J226</f>
        <v>0</v>
      </c>
    </row>
    <row r="227" spans="1:11" ht="14.25">
      <c r="A227" s="343"/>
      <c r="B227" s="213"/>
      <c r="C227" s="166"/>
      <c r="D227" s="166"/>
      <c r="E227" s="166"/>
      <c r="F227" s="166"/>
      <c r="G227" s="166"/>
      <c r="H227" s="166"/>
      <c r="I227" s="166"/>
      <c r="J227" s="166"/>
      <c r="K227" s="220"/>
    </row>
    <row r="228" spans="1:11" s="255" customFormat="1">
      <c r="A228" s="420" t="s">
        <v>95</v>
      </c>
      <c r="B228" s="421"/>
      <c r="C228" s="421"/>
      <c r="D228" s="421"/>
      <c r="E228" s="421"/>
      <c r="F228" s="421"/>
      <c r="G228" s="421"/>
      <c r="H228" s="421"/>
      <c r="I228" s="421"/>
      <c r="J228" s="422"/>
      <c r="K228" s="254">
        <f>SUM(K223:K226)</f>
        <v>0</v>
      </c>
    </row>
    <row r="229" spans="1:11" s="255" customFormat="1">
      <c r="A229" s="440"/>
      <c r="B229" s="441"/>
      <c r="C229" s="441"/>
      <c r="D229" s="441"/>
      <c r="E229" s="441"/>
      <c r="F229" s="441"/>
      <c r="G229" s="441"/>
      <c r="H229" s="441"/>
      <c r="I229" s="441"/>
      <c r="J229" s="441"/>
      <c r="K229" s="442"/>
    </row>
    <row r="230" spans="1:11" ht="14.25" customHeight="1">
      <c r="A230" s="427" t="s">
        <v>88</v>
      </c>
      <c r="B230" s="427"/>
      <c r="C230" s="427"/>
      <c r="D230" s="427"/>
      <c r="E230" s="427"/>
      <c r="F230" s="427"/>
      <c r="G230" s="427"/>
      <c r="H230" s="427"/>
      <c r="I230" s="427"/>
      <c r="J230" s="427"/>
      <c r="K230" s="358">
        <f>K31+K54+K76+K93+K119+K147+K180+K210+K216+K222+K228</f>
        <v>0</v>
      </c>
    </row>
    <row r="231" spans="1:11" s="181" customFormat="1" ht="59.25" customHeight="1">
      <c r="A231" s="426" t="s">
        <v>163</v>
      </c>
      <c r="B231" s="426"/>
      <c r="C231" s="426"/>
      <c r="D231" s="426"/>
      <c r="E231" s="426"/>
      <c r="F231" s="426"/>
      <c r="G231" s="426"/>
      <c r="H231" s="426"/>
      <c r="I231" s="426"/>
      <c r="J231" s="426"/>
      <c r="K231" s="426"/>
    </row>
    <row r="232" spans="1:11" s="42" customFormat="1" ht="14.25">
      <c r="A232" s="359"/>
      <c r="B232" s="360"/>
      <c r="C232" s="44"/>
      <c r="D232" s="361"/>
      <c r="E232" s="361"/>
      <c r="F232" s="361"/>
      <c r="G232" s="361"/>
      <c r="H232" s="361"/>
      <c r="I232" s="362"/>
      <c r="J232" s="43"/>
      <c r="K232" s="43"/>
    </row>
    <row r="233" spans="1:11" s="42" customFormat="1" ht="14.25">
      <c r="A233" s="359"/>
      <c r="B233" s="363"/>
      <c r="C233" s="44"/>
      <c r="D233" s="361"/>
      <c r="E233" s="361"/>
      <c r="F233" s="361"/>
      <c r="G233" s="361"/>
      <c r="H233" s="361"/>
      <c r="I233" s="362"/>
      <c r="J233" s="43"/>
      <c r="K233" s="43"/>
    </row>
    <row r="234" spans="1:11" s="42" customFormat="1" ht="14.25">
      <c r="A234" s="359"/>
      <c r="B234" s="41"/>
      <c r="C234" s="364"/>
      <c r="D234" s="181"/>
      <c r="E234" s="181"/>
      <c r="F234" s="181"/>
      <c r="G234" s="181"/>
      <c r="H234" s="181"/>
      <c r="I234" s="278"/>
      <c r="J234" s="43"/>
      <c r="K234" s="43"/>
    </row>
    <row r="235" spans="1:11" s="42" customFormat="1" ht="14.25">
      <c r="A235" s="36"/>
      <c r="B235" s="39"/>
      <c r="C235" s="55"/>
      <c r="D235" s="181"/>
      <c r="E235" s="181"/>
      <c r="F235" s="181"/>
      <c r="G235" s="181"/>
      <c r="H235" s="181"/>
      <c r="I235" s="278"/>
      <c r="J235" s="43"/>
      <c r="K235" s="37"/>
    </row>
    <row r="236" spans="1:11" s="42" customFormat="1" ht="14.25">
      <c r="A236" s="36"/>
      <c r="B236" s="35"/>
      <c r="C236" s="34"/>
      <c r="D236" s="181"/>
      <c r="E236" s="181"/>
      <c r="F236" s="181"/>
      <c r="G236" s="181"/>
      <c r="H236" s="181"/>
      <c r="I236" s="278"/>
      <c r="J236" s="56"/>
      <c r="K236" s="37"/>
    </row>
    <row r="237" spans="1:11" s="42" customFormat="1" ht="14.25">
      <c r="A237" s="36"/>
      <c r="B237" s="35"/>
      <c r="C237" s="34"/>
      <c r="D237" s="181"/>
      <c r="E237" s="181"/>
      <c r="F237" s="181"/>
      <c r="G237" s="181"/>
      <c r="H237" s="181"/>
      <c r="I237" s="278"/>
      <c r="J237" s="56"/>
      <c r="K237" s="37"/>
    </row>
    <row r="238" spans="1:11" s="42" customFormat="1" ht="14.25">
      <c r="A238" s="36"/>
      <c r="B238" s="40"/>
      <c r="C238" s="34"/>
      <c r="D238" s="181"/>
      <c r="E238" s="181"/>
      <c r="F238" s="181"/>
      <c r="G238" s="181"/>
      <c r="H238" s="181"/>
      <c r="I238" s="278"/>
      <c r="J238" s="56"/>
      <c r="K238" s="37"/>
    </row>
    <row r="239" spans="1:11" s="42" customFormat="1" ht="14.25">
      <c r="A239" s="36"/>
      <c r="B239" s="39"/>
      <c r="C239" s="34"/>
      <c r="D239" s="181"/>
      <c r="E239" s="181"/>
      <c r="F239" s="181"/>
      <c r="G239" s="181"/>
      <c r="H239" s="181"/>
      <c r="I239" s="278"/>
      <c r="J239" s="56"/>
      <c r="K239" s="37"/>
    </row>
    <row r="240" spans="1:11" s="42" customFormat="1" ht="14.25">
      <c r="A240" s="36"/>
      <c r="B240" s="38"/>
      <c r="C240" s="34"/>
      <c r="D240" s="181"/>
      <c r="E240" s="181"/>
      <c r="F240" s="181"/>
      <c r="G240" s="181"/>
      <c r="H240" s="181"/>
      <c r="I240" s="278"/>
      <c r="J240" s="56"/>
      <c r="K240" s="37"/>
    </row>
    <row r="241" spans="1:11" s="42" customFormat="1" ht="14.25">
      <c r="A241" s="36"/>
      <c r="B241" s="35"/>
      <c r="C241" s="34"/>
      <c r="D241" s="181"/>
      <c r="E241" s="181"/>
      <c r="F241" s="181"/>
      <c r="G241" s="181"/>
      <c r="H241" s="181"/>
      <c r="I241" s="278"/>
      <c r="J241" s="56"/>
      <c r="K241" s="37"/>
    </row>
    <row r="242" spans="1:11" s="42" customFormat="1" ht="14.25">
      <c r="A242" s="365"/>
      <c r="B242" s="33"/>
      <c r="C242" s="366"/>
      <c r="D242" s="181"/>
      <c r="E242" s="181"/>
      <c r="F242" s="181"/>
      <c r="G242" s="181"/>
      <c r="H242" s="181"/>
      <c r="I242" s="278"/>
      <c r="J242" s="43"/>
      <c r="K242" s="367"/>
    </row>
    <row r="243" spans="1:11" s="42" customFormat="1" ht="14.25">
      <c r="A243" s="368"/>
      <c r="B243" s="369"/>
      <c r="C243" s="370"/>
      <c r="D243" s="181"/>
      <c r="E243" s="181"/>
      <c r="F243" s="181"/>
      <c r="G243" s="181"/>
      <c r="H243" s="181"/>
      <c r="I243" s="278"/>
      <c r="J243" s="43"/>
      <c r="K243" s="37"/>
    </row>
  </sheetData>
  <mergeCells count="17">
    <mergeCell ref="A54:J54"/>
    <mergeCell ref="A1:I1"/>
    <mergeCell ref="A2:K2"/>
    <mergeCell ref="D3:H3"/>
    <mergeCell ref="A31:J31"/>
    <mergeCell ref="A231:K231"/>
    <mergeCell ref="A230:J230"/>
    <mergeCell ref="A76:J76"/>
    <mergeCell ref="A147:J147"/>
    <mergeCell ref="A210:J210"/>
    <mergeCell ref="A119:J119"/>
    <mergeCell ref="A180:J180"/>
    <mergeCell ref="A222:J222"/>
    <mergeCell ref="A93:J93"/>
    <mergeCell ref="A228:J228"/>
    <mergeCell ref="A229:K229"/>
    <mergeCell ref="A216:J216"/>
  </mergeCells>
  <pageMargins left="0.9" right="0.22" top="0.78740157499999996" bottom="0.78740157499999996" header="0.3" footer="0.3"/>
  <pageSetup scale="75" fitToWidth="0"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4"/>
  <sheetViews>
    <sheetView zoomScaleNormal="100" zoomScaleSheetLayoutView="100" workbookViewId="0">
      <selection sqref="A1:I1"/>
    </sheetView>
  </sheetViews>
  <sheetFormatPr defaultColWidth="9.140625" defaultRowHeight="14.25"/>
  <cols>
    <col min="1" max="1" width="9.28515625" style="276" customWidth="1"/>
    <col min="2" max="2" width="60.7109375" style="301" customWidth="1"/>
    <col min="3" max="3" width="9.7109375" style="278" customWidth="1"/>
    <col min="4" max="6" width="10.7109375" style="278" hidden="1" customWidth="1"/>
    <col min="7" max="7" width="5.7109375" style="278" hidden="1" customWidth="1"/>
    <col min="8" max="8" width="37.85546875" style="278" hidden="1" customWidth="1"/>
    <col min="9" max="9" width="10.7109375" style="278" customWidth="1"/>
    <col min="10" max="10" width="20.42578125" style="278" customWidth="1"/>
    <col min="11" max="11" width="15.5703125" style="181" bestFit="1" customWidth="1"/>
    <col min="12" max="12" width="14.5703125" style="185" bestFit="1" customWidth="1"/>
    <col min="13" max="16384" width="9.140625" style="185"/>
  </cols>
  <sheetData>
    <row r="1" spans="1:11" ht="48.75" customHeight="1">
      <c r="A1" s="418" t="s">
        <v>80</v>
      </c>
      <c r="B1" s="419"/>
      <c r="C1" s="419"/>
      <c r="D1" s="419"/>
      <c r="E1" s="419"/>
      <c r="F1" s="419"/>
      <c r="G1" s="419"/>
      <c r="H1" s="419"/>
      <c r="I1" s="419"/>
      <c r="J1" s="302"/>
      <c r="K1" s="242"/>
    </row>
    <row r="2" spans="1:11" ht="14.25" customHeight="1">
      <c r="A2" s="431" t="s">
        <v>386</v>
      </c>
      <c r="B2" s="431"/>
      <c r="C2" s="431"/>
      <c r="D2" s="431"/>
      <c r="E2" s="431"/>
      <c r="F2" s="431"/>
      <c r="G2" s="431"/>
      <c r="H2" s="431"/>
      <c r="I2" s="431"/>
      <c r="J2" s="431"/>
      <c r="K2" s="431"/>
    </row>
    <row r="3" spans="1:11" ht="14.25" customHeight="1">
      <c r="A3" s="243" t="s">
        <v>0</v>
      </c>
      <c r="B3" s="244" t="s">
        <v>1</v>
      </c>
      <c r="C3" s="245" t="s">
        <v>2</v>
      </c>
      <c r="D3" s="412" t="s">
        <v>29</v>
      </c>
      <c r="E3" s="413"/>
      <c r="F3" s="413"/>
      <c r="G3" s="413"/>
      <c r="H3" s="414"/>
      <c r="I3" s="245" t="s">
        <v>79</v>
      </c>
      <c r="J3" s="245" t="s">
        <v>4</v>
      </c>
      <c r="K3" s="245" t="s">
        <v>5</v>
      </c>
    </row>
    <row r="4" spans="1:11">
      <c r="A4" s="374"/>
      <c r="B4" s="375"/>
      <c r="C4" s="376"/>
      <c r="D4" s="376"/>
      <c r="E4" s="376"/>
      <c r="F4" s="376"/>
      <c r="G4" s="376"/>
      <c r="H4" s="376"/>
      <c r="I4" s="376"/>
      <c r="J4" s="376"/>
      <c r="K4" s="376"/>
    </row>
    <row r="5" spans="1:11" s="181" customFormat="1">
      <c r="A5" s="247">
        <v>1</v>
      </c>
      <c r="B5" s="248" t="s">
        <v>165</v>
      </c>
      <c r="C5" s="172"/>
      <c r="D5" s="174"/>
      <c r="E5" s="174"/>
      <c r="F5" s="142"/>
      <c r="G5" s="142"/>
      <c r="H5" s="142"/>
      <c r="I5" s="172"/>
      <c r="J5" s="377"/>
      <c r="K5" s="176"/>
    </row>
    <row r="6" spans="1:11" s="181" customFormat="1">
      <c r="A6" s="247"/>
      <c r="B6" s="248"/>
      <c r="C6" s="172"/>
      <c r="D6" s="174"/>
      <c r="E6" s="174"/>
      <c r="F6" s="142"/>
      <c r="G6" s="142"/>
      <c r="H6" s="142"/>
      <c r="I6" s="172"/>
      <c r="J6" s="377"/>
      <c r="K6" s="176"/>
    </row>
    <row r="7" spans="1:11" s="181" customFormat="1">
      <c r="A7" s="247">
        <v>1.1000000000000001</v>
      </c>
      <c r="B7" s="248" t="s">
        <v>42</v>
      </c>
      <c r="C7" s="172"/>
      <c r="D7" s="142"/>
      <c r="E7" s="142"/>
      <c r="F7" s="142"/>
      <c r="G7" s="142"/>
      <c r="H7" s="142"/>
      <c r="I7" s="172"/>
      <c r="J7" s="377"/>
      <c r="K7" s="176"/>
    </row>
    <row r="8" spans="1:11" s="181" customFormat="1" ht="15">
      <c r="A8" s="247"/>
      <c r="B8" s="295"/>
      <c r="C8" s="172"/>
      <c r="D8" s="142"/>
      <c r="E8" s="142"/>
      <c r="F8" s="142"/>
      <c r="G8" s="142"/>
      <c r="H8" s="142"/>
      <c r="I8" s="172"/>
      <c r="J8" s="377"/>
      <c r="K8" s="176"/>
    </row>
    <row r="9" spans="1:11" s="181" customFormat="1" ht="25.5">
      <c r="A9" s="378">
        <v>1.1100000000000001</v>
      </c>
      <c r="B9" s="379" t="s">
        <v>164</v>
      </c>
      <c r="C9" s="380" t="s">
        <v>33</v>
      </c>
      <c r="D9" s="142">
        <v>45</v>
      </c>
      <c r="E9" s="142">
        <f>D9*D9</f>
        <v>2025</v>
      </c>
      <c r="F9" s="142"/>
      <c r="G9" s="142"/>
      <c r="H9" s="142"/>
      <c r="I9" s="212">
        <v>1300</v>
      </c>
      <c r="J9" s="150"/>
      <c r="K9" s="173"/>
    </row>
    <row r="10" spans="1:11" s="181" customFormat="1">
      <c r="A10" s="247"/>
      <c r="B10" s="381"/>
      <c r="C10" s="172"/>
      <c r="D10" s="142"/>
      <c r="E10" s="142"/>
      <c r="F10" s="142"/>
      <c r="G10" s="142"/>
      <c r="H10" s="142"/>
      <c r="I10" s="172"/>
      <c r="J10" s="150"/>
      <c r="K10" s="173"/>
    </row>
    <row r="11" spans="1:11" s="181" customFormat="1">
      <c r="A11" s="247">
        <v>1.2</v>
      </c>
      <c r="B11" s="248" t="s">
        <v>43</v>
      </c>
      <c r="C11" s="172"/>
      <c r="D11" s="142"/>
      <c r="E11" s="142"/>
      <c r="F11" s="142"/>
      <c r="G11" s="142"/>
      <c r="H11" s="142"/>
      <c r="I11" s="172"/>
      <c r="J11" s="150"/>
      <c r="K11" s="173"/>
    </row>
    <row r="12" spans="1:11" s="181" customFormat="1">
      <c r="A12" s="382"/>
      <c r="B12" s="383"/>
      <c r="C12" s="380"/>
      <c r="D12" s="376"/>
      <c r="E12" s="376"/>
      <c r="F12" s="376"/>
      <c r="G12" s="376"/>
      <c r="H12" s="376"/>
      <c r="I12" s="380"/>
      <c r="J12" s="376"/>
      <c r="K12" s="376"/>
    </row>
    <row r="13" spans="1:11" s="181" customFormat="1">
      <c r="A13" s="382">
        <v>1.21</v>
      </c>
      <c r="B13" s="383" t="s">
        <v>40</v>
      </c>
      <c r="C13" s="380" t="s">
        <v>9</v>
      </c>
      <c r="D13" s="376"/>
      <c r="E13" s="376"/>
      <c r="F13" s="376"/>
      <c r="G13" s="376"/>
      <c r="H13" s="376"/>
      <c r="I13" s="380">
        <v>2</v>
      </c>
      <c r="J13" s="150"/>
      <c r="K13" s="380"/>
    </row>
    <row r="14" spans="1:11" s="181" customFormat="1">
      <c r="A14" s="382"/>
      <c r="B14" s="383"/>
      <c r="C14" s="380"/>
      <c r="D14" s="376"/>
      <c r="E14" s="376"/>
      <c r="F14" s="376"/>
      <c r="G14" s="376"/>
      <c r="H14" s="376"/>
      <c r="I14" s="380"/>
      <c r="J14" s="380"/>
      <c r="K14" s="380"/>
    </row>
    <row r="15" spans="1:11" s="181" customFormat="1">
      <c r="A15" s="382">
        <v>1.22</v>
      </c>
      <c r="B15" s="383" t="s">
        <v>8</v>
      </c>
      <c r="C15" s="380" t="s">
        <v>9</v>
      </c>
      <c r="D15" s="376"/>
      <c r="E15" s="376"/>
      <c r="F15" s="376"/>
      <c r="G15" s="376"/>
      <c r="H15" s="376"/>
      <c r="I15" s="380">
        <v>1</v>
      </c>
      <c r="J15" s="150"/>
      <c r="K15" s="380"/>
    </row>
    <row r="16" spans="1:11" s="181" customFormat="1">
      <c r="A16" s="382"/>
      <c r="B16" s="383"/>
      <c r="C16" s="380"/>
      <c r="D16" s="376"/>
      <c r="E16" s="376"/>
      <c r="F16" s="376"/>
      <c r="G16" s="376"/>
      <c r="H16" s="376"/>
      <c r="I16" s="380"/>
      <c r="J16" s="376"/>
      <c r="K16" s="376"/>
    </row>
    <row r="17" spans="1:11" s="181" customFormat="1" ht="30" customHeight="1">
      <c r="A17" s="382"/>
      <c r="B17" s="383" t="s">
        <v>254</v>
      </c>
      <c r="C17" s="380"/>
      <c r="D17" s="376"/>
      <c r="E17" s="376"/>
      <c r="F17" s="376"/>
      <c r="G17" s="376"/>
      <c r="H17" s="376"/>
      <c r="I17" s="380"/>
      <c r="J17" s="376"/>
      <c r="K17" s="376"/>
    </row>
    <row r="18" spans="1:11">
      <c r="A18" s="382"/>
      <c r="B18" s="383"/>
      <c r="C18" s="380"/>
      <c r="D18" s="376"/>
      <c r="E18" s="376"/>
      <c r="F18" s="376"/>
      <c r="G18" s="376"/>
      <c r="H18" s="376"/>
      <c r="I18" s="380"/>
      <c r="J18" s="376"/>
      <c r="K18" s="376"/>
    </row>
    <row r="19" spans="1:11">
      <c r="A19" s="374">
        <v>1.3</v>
      </c>
      <c r="B19" s="248" t="s">
        <v>166</v>
      </c>
      <c r="C19" s="376"/>
      <c r="D19" s="376"/>
      <c r="E19" s="376"/>
      <c r="F19" s="376"/>
      <c r="G19" s="376"/>
      <c r="H19" s="376"/>
      <c r="I19" s="376"/>
      <c r="J19" s="376"/>
      <c r="K19" s="376"/>
    </row>
    <row r="20" spans="1:11">
      <c r="A20" s="374"/>
      <c r="B20" s="375"/>
      <c r="C20" s="376"/>
      <c r="D20" s="376"/>
      <c r="E20" s="376"/>
      <c r="F20" s="376"/>
      <c r="G20" s="376"/>
      <c r="H20" s="376"/>
      <c r="I20" s="376"/>
      <c r="J20" s="376"/>
      <c r="K20" s="376"/>
    </row>
    <row r="21" spans="1:11" ht="25.5">
      <c r="A21" s="382">
        <v>1.31</v>
      </c>
      <c r="B21" s="383" t="s">
        <v>209</v>
      </c>
      <c r="C21" s="380" t="s">
        <v>180</v>
      </c>
      <c r="D21" s="376"/>
      <c r="E21" s="376"/>
      <c r="F21" s="376"/>
      <c r="G21" s="376"/>
      <c r="H21" s="376"/>
      <c r="I21" s="380" t="s">
        <v>104</v>
      </c>
      <c r="J21" s="150"/>
      <c r="K21" s="173">
        <f>J21</f>
        <v>0</v>
      </c>
    </row>
    <row r="22" spans="1:11">
      <c r="A22" s="374"/>
      <c r="B22" s="375"/>
      <c r="C22" s="376"/>
      <c r="D22" s="376"/>
      <c r="E22" s="376"/>
      <c r="F22" s="376"/>
      <c r="G22" s="376"/>
      <c r="H22" s="376"/>
      <c r="I22" s="376"/>
      <c r="J22" s="376"/>
      <c r="K22" s="376"/>
    </row>
    <row r="23" spans="1:11" ht="15.75">
      <c r="A23" s="382">
        <v>1.32</v>
      </c>
      <c r="B23" s="384" t="s">
        <v>167</v>
      </c>
      <c r="C23" s="380" t="s">
        <v>33</v>
      </c>
      <c r="D23" s="376"/>
      <c r="E23" s="376"/>
      <c r="F23" s="376"/>
      <c r="G23" s="376"/>
      <c r="H23" s="376"/>
      <c r="I23" s="385">
        <f>((I9)-((8.1*15.1)+(5.9*15.4)+(10.8*31.2)+(6.4*7.05)+(3*3.1)+I51))</f>
        <v>459.44999999999993</v>
      </c>
      <c r="J23" s="170"/>
      <c r="K23" s="173">
        <f>I23*J23</f>
        <v>0</v>
      </c>
    </row>
    <row r="24" spans="1:11">
      <c r="A24" s="382"/>
      <c r="B24" s="384"/>
      <c r="C24" s="380"/>
      <c r="D24" s="376"/>
      <c r="E24" s="376"/>
      <c r="F24" s="376"/>
      <c r="G24" s="376"/>
      <c r="H24" s="376"/>
      <c r="I24" s="380"/>
      <c r="J24" s="380"/>
      <c r="K24" s="332"/>
    </row>
    <row r="25" spans="1:11">
      <c r="A25" s="374">
        <v>1.4</v>
      </c>
      <c r="B25" s="248" t="s">
        <v>168</v>
      </c>
      <c r="C25" s="376"/>
      <c r="D25" s="376"/>
      <c r="E25" s="376"/>
      <c r="F25" s="376"/>
      <c r="G25" s="376"/>
      <c r="H25" s="376"/>
      <c r="I25" s="376"/>
      <c r="J25" s="376"/>
      <c r="K25" s="376"/>
    </row>
    <row r="26" spans="1:11">
      <c r="A26" s="374"/>
      <c r="B26" s="375"/>
      <c r="C26" s="376"/>
      <c r="D26" s="376"/>
      <c r="E26" s="376"/>
      <c r="F26" s="376"/>
      <c r="G26" s="376"/>
      <c r="H26" s="376"/>
      <c r="I26" s="376"/>
      <c r="J26" s="376"/>
      <c r="K26" s="376"/>
    </row>
    <row r="27" spans="1:11" ht="25.5">
      <c r="A27" s="382">
        <v>1.41</v>
      </c>
      <c r="B27" s="383" t="s">
        <v>208</v>
      </c>
      <c r="C27" s="380" t="s">
        <v>3</v>
      </c>
      <c r="D27" s="376"/>
      <c r="E27" s="376"/>
      <c r="F27" s="376"/>
      <c r="G27" s="376"/>
      <c r="H27" s="376"/>
      <c r="I27" s="380">
        <v>150</v>
      </c>
      <c r="J27" s="150"/>
      <c r="K27" s="173">
        <f>I27*J27</f>
        <v>0</v>
      </c>
    </row>
    <row r="28" spans="1:11">
      <c r="A28" s="357"/>
      <c r="B28" s="139"/>
      <c r="C28" s="313"/>
      <c r="D28" s="313"/>
      <c r="E28" s="313"/>
      <c r="F28" s="313"/>
      <c r="G28" s="313"/>
      <c r="H28" s="313"/>
      <c r="I28" s="313"/>
      <c r="J28" s="170"/>
      <c r="K28" s="220"/>
    </row>
    <row r="29" spans="1:11" s="255" customFormat="1" ht="15">
      <c r="A29" s="420" t="s">
        <v>91</v>
      </c>
      <c r="B29" s="421"/>
      <c r="C29" s="421"/>
      <c r="D29" s="421"/>
      <c r="E29" s="421"/>
      <c r="F29" s="421"/>
      <c r="G29" s="421"/>
      <c r="H29" s="421"/>
      <c r="I29" s="421"/>
      <c r="J29" s="422"/>
      <c r="K29" s="254">
        <f>SUM(K5:K27)</f>
        <v>0</v>
      </c>
    </row>
    <row r="30" spans="1:11">
      <c r="A30" s="374"/>
      <c r="B30" s="375"/>
      <c r="C30" s="376"/>
      <c r="D30" s="376"/>
      <c r="E30" s="376"/>
      <c r="F30" s="376"/>
      <c r="G30" s="376"/>
      <c r="H30" s="376"/>
      <c r="I30" s="376"/>
      <c r="J30" s="376"/>
      <c r="K30" s="376"/>
    </row>
    <row r="31" spans="1:11">
      <c r="A31" s="386">
        <v>2</v>
      </c>
      <c r="B31" s="387" t="s">
        <v>92</v>
      </c>
      <c r="C31" s="313"/>
      <c r="D31" s="313"/>
      <c r="E31" s="313"/>
      <c r="F31" s="313"/>
      <c r="G31" s="313"/>
      <c r="H31" s="313"/>
      <c r="I31" s="313"/>
      <c r="J31" s="170"/>
      <c r="K31" s="220"/>
    </row>
    <row r="32" spans="1:11">
      <c r="A32" s="317"/>
      <c r="B32" s="387"/>
      <c r="C32" s="313"/>
      <c r="D32" s="313"/>
      <c r="E32" s="313"/>
      <c r="F32" s="313"/>
      <c r="G32" s="313"/>
      <c r="H32" s="313"/>
      <c r="I32" s="313"/>
      <c r="J32" s="170"/>
      <c r="K32" s="220"/>
    </row>
    <row r="33" spans="1:11" ht="63.75">
      <c r="A33" s="317"/>
      <c r="B33" s="352" t="s">
        <v>255</v>
      </c>
      <c r="C33" s="313"/>
      <c r="D33" s="313"/>
      <c r="E33" s="313"/>
      <c r="F33" s="313"/>
      <c r="G33" s="313"/>
      <c r="H33" s="218"/>
      <c r="I33" s="313"/>
      <c r="J33" s="170"/>
      <c r="K33" s="220"/>
    </row>
    <row r="34" spans="1:11">
      <c r="A34" s="317"/>
      <c r="B34" s="388"/>
      <c r="C34" s="313"/>
      <c r="D34" s="313"/>
      <c r="E34" s="313"/>
      <c r="F34" s="313"/>
      <c r="G34" s="313"/>
      <c r="H34" s="313"/>
      <c r="I34" s="313"/>
      <c r="J34" s="170"/>
      <c r="K34" s="220"/>
    </row>
    <row r="35" spans="1:11" ht="81.75" customHeight="1">
      <c r="A35" s="357">
        <v>2.1</v>
      </c>
      <c r="B35" s="139" t="s">
        <v>317</v>
      </c>
      <c r="C35" s="313" t="s">
        <v>6</v>
      </c>
      <c r="D35" s="313">
        <v>1</v>
      </c>
      <c r="E35" s="313">
        <v>1</v>
      </c>
      <c r="F35" s="313">
        <v>1</v>
      </c>
      <c r="H35" s="218"/>
      <c r="I35" s="313">
        <v>4</v>
      </c>
      <c r="J35" s="170"/>
      <c r="K35" s="220">
        <f>I35*J35</f>
        <v>0</v>
      </c>
    </row>
    <row r="36" spans="1:11">
      <c r="A36" s="357"/>
      <c r="B36" s="139"/>
      <c r="C36" s="313"/>
      <c r="D36" s="313"/>
      <c r="E36" s="313"/>
      <c r="F36" s="313"/>
      <c r="G36" s="313"/>
      <c r="H36" s="218"/>
      <c r="I36" s="313"/>
      <c r="J36" s="170"/>
      <c r="K36" s="220"/>
    </row>
    <row r="37" spans="1:11" s="255" customFormat="1" ht="15">
      <c r="A37" s="420" t="s">
        <v>83</v>
      </c>
      <c r="B37" s="421"/>
      <c r="C37" s="421"/>
      <c r="D37" s="421"/>
      <c r="E37" s="421"/>
      <c r="F37" s="421"/>
      <c r="G37" s="421"/>
      <c r="H37" s="421"/>
      <c r="I37" s="421"/>
      <c r="J37" s="422"/>
      <c r="K37" s="254">
        <f>SUM(K30:K36)</f>
        <v>0</v>
      </c>
    </row>
    <row r="38" spans="1:11" s="181" customFormat="1">
      <c r="A38" s="256"/>
      <c r="B38" s="257"/>
      <c r="C38" s="172"/>
      <c r="D38" s="142"/>
      <c r="E38" s="142"/>
      <c r="F38" s="142"/>
      <c r="G38" s="142"/>
      <c r="H38" s="142"/>
      <c r="I38" s="172"/>
      <c r="J38" s="150"/>
      <c r="K38" s="173"/>
    </row>
    <row r="39" spans="1:11">
      <c r="A39" s="317">
        <v>3</v>
      </c>
      <c r="B39" s="389" t="s">
        <v>146</v>
      </c>
      <c r="C39" s="313"/>
      <c r="D39" s="313"/>
      <c r="E39" s="313"/>
      <c r="F39" s="313"/>
      <c r="G39" s="313"/>
      <c r="H39" s="313"/>
      <c r="I39" s="313"/>
      <c r="J39" s="390"/>
      <c r="K39" s="391"/>
    </row>
    <row r="40" spans="1:11">
      <c r="A40" s="171"/>
      <c r="B40" s="275"/>
      <c r="C40" s="172"/>
      <c r="D40" s="229"/>
      <c r="E40" s="229"/>
      <c r="F40" s="229"/>
      <c r="G40" s="229"/>
      <c r="H40" s="229"/>
      <c r="I40" s="145"/>
      <c r="J40" s="150"/>
      <c r="K40" s="173"/>
    </row>
    <row r="41" spans="1:11" ht="55.5" customHeight="1">
      <c r="A41" s="357">
        <v>3.1</v>
      </c>
      <c r="B41" s="139" t="s">
        <v>210</v>
      </c>
      <c r="C41" s="313" t="s">
        <v>6</v>
      </c>
      <c r="D41" s="313"/>
      <c r="E41" s="313"/>
      <c r="F41" s="313"/>
      <c r="G41" s="313"/>
      <c r="H41" s="313"/>
      <c r="I41" s="313">
        <v>1</v>
      </c>
      <c r="J41" s="170"/>
      <c r="K41" s="220">
        <f>I41*J41</f>
        <v>0</v>
      </c>
    </row>
    <row r="42" spans="1:11">
      <c r="A42" s="317"/>
      <c r="B42" s="389"/>
      <c r="C42" s="313"/>
      <c r="D42" s="313"/>
      <c r="E42" s="313"/>
      <c r="F42" s="313"/>
      <c r="G42" s="313"/>
      <c r="H42" s="313"/>
      <c r="I42" s="313"/>
      <c r="J42" s="170"/>
      <c r="K42" s="220"/>
    </row>
    <row r="43" spans="1:11" ht="78.75" customHeight="1">
      <c r="A43" s="357">
        <v>3.2</v>
      </c>
      <c r="B43" s="139" t="s">
        <v>229</v>
      </c>
      <c r="C43" s="313" t="s">
        <v>3</v>
      </c>
      <c r="D43" s="313"/>
      <c r="E43" s="313"/>
      <c r="F43" s="313"/>
      <c r="G43" s="313"/>
      <c r="H43" s="392"/>
      <c r="I43" s="313">
        <v>142</v>
      </c>
      <c r="J43" s="170"/>
      <c r="K43" s="220">
        <f>I43*J43</f>
        <v>0</v>
      </c>
    </row>
    <row r="44" spans="1:11" ht="15">
      <c r="A44" s="393"/>
      <c r="B44" s="394"/>
      <c r="C44" s="313"/>
      <c r="D44" s="313"/>
      <c r="E44" s="313"/>
      <c r="F44" s="313"/>
      <c r="G44" s="313"/>
      <c r="H44" s="218"/>
      <c r="I44" s="313"/>
      <c r="J44" s="170"/>
      <c r="K44" s="220"/>
    </row>
    <row r="45" spans="1:11" s="255" customFormat="1" ht="15">
      <c r="A45" s="420" t="s">
        <v>84</v>
      </c>
      <c r="B45" s="421"/>
      <c r="C45" s="421"/>
      <c r="D45" s="421"/>
      <c r="E45" s="421"/>
      <c r="F45" s="421"/>
      <c r="G45" s="421"/>
      <c r="H45" s="421"/>
      <c r="I45" s="421"/>
      <c r="J45" s="422"/>
      <c r="K45" s="254">
        <f>SUM(K38:K44)</f>
        <v>0</v>
      </c>
    </row>
    <row r="46" spans="1:11" s="181" customFormat="1">
      <c r="A46" s="256"/>
      <c r="B46" s="257"/>
      <c r="C46" s="172"/>
      <c r="D46" s="142"/>
      <c r="E46" s="142"/>
      <c r="F46" s="142"/>
      <c r="G46" s="142"/>
      <c r="H46" s="142"/>
      <c r="I46" s="172"/>
      <c r="J46" s="150"/>
      <c r="K46" s="173"/>
    </row>
    <row r="47" spans="1:11">
      <c r="A47" s="325">
        <v>4</v>
      </c>
      <c r="B47" s="355" t="s">
        <v>93</v>
      </c>
      <c r="C47" s="313"/>
      <c r="D47" s="8"/>
      <c r="E47" s="8"/>
      <c r="F47" s="8"/>
      <c r="G47" s="8"/>
      <c r="H47" s="8"/>
      <c r="I47" s="8"/>
      <c r="J47" s="220"/>
      <c r="K47" s="220"/>
    </row>
    <row r="48" spans="1:11">
      <c r="A48" s="325"/>
      <c r="B48" s="395"/>
      <c r="C48" s="166"/>
      <c r="D48" s="23"/>
      <c r="E48" s="23"/>
      <c r="F48" s="23"/>
      <c r="G48" s="23"/>
      <c r="H48" s="23"/>
      <c r="I48" s="23"/>
      <c r="J48" s="220"/>
      <c r="K48" s="220"/>
    </row>
    <row r="49" spans="1:12">
      <c r="A49" s="396">
        <v>4.0999999999999996</v>
      </c>
      <c r="B49" s="333" t="s">
        <v>169</v>
      </c>
      <c r="C49" s="166"/>
      <c r="D49" s="23"/>
      <c r="E49" s="23"/>
      <c r="F49" s="23"/>
      <c r="G49" s="23"/>
      <c r="H49" s="23"/>
      <c r="I49" s="23"/>
      <c r="J49" s="220"/>
      <c r="K49" s="220"/>
    </row>
    <row r="50" spans="1:12">
      <c r="A50" s="216"/>
      <c r="B50" s="352"/>
      <c r="C50" s="166"/>
      <c r="D50" s="23"/>
      <c r="E50" s="23"/>
      <c r="F50" s="23"/>
      <c r="G50" s="23"/>
      <c r="H50" s="23"/>
      <c r="I50" s="23"/>
      <c r="J50" s="220"/>
      <c r="K50" s="220"/>
    </row>
    <row r="51" spans="1:12" ht="25.5">
      <c r="A51" s="357">
        <v>4.1100000000000003</v>
      </c>
      <c r="B51" s="352" t="s">
        <v>211</v>
      </c>
      <c r="C51" s="166" t="s">
        <v>33</v>
      </c>
      <c r="D51" s="23"/>
      <c r="E51" s="23"/>
      <c r="F51" s="23"/>
      <c r="G51" s="23"/>
      <c r="H51" s="23"/>
      <c r="I51" s="397">
        <v>236</v>
      </c>
      <c r="J51" s="170"/>
      <c r="K51" s="220">
        <f>I51*J51</f>
        <v>0</v>
      </c>
    </row>
    <row r="52" spans="1:12">
      <c r="A52" s="357"/>
      <c r="B52" s="352"/>
      <c r="C52" s="166"/>
      <c r="D52" s="23"/>
      <c r="E52" s="23"/>
      <c r="F52" s="23"/>
      <c r="G52" s="23"/>
      <c r="H52" s="23"/>
      <c r="I52" s="23"/>
      <c r="J52" s="170"/>
      <c r="K52" s="220"/>
    </row>
    <row r="53" spans="1:12" ht="15.75">
      <c r="A53" s="357">
        <v>4.12</v>
      </c>
      <c r="B53" s="352" t="s">
        <v>107</v>
      </c>
      <c r="C53" s="166" t="s">
        <v>33</v>
      </c>
      <c r="D53" s="23"/>
      <c r="E53" s="23"/>
      <c r="F53" s="23"/>
      <c r="G53" s="23"/>
      <c r="H53" s="23"/>
      <c r="I53" s="23">
        <f>I51</f>
        <v>236</v>
      </c>
      <c r="J53" s="170"/>
      <c r="K53" s="220">
        <f>I53*J53</f>
        <v>0</v>
      </c>
    </row>
    <row r="54" spans="1:12">
      <c r="A54" s="357"/>
      <c r="B54" s="352"/>
      <c r="C54" s="166"/>
      <c r="D54" s="23"/>
      <c r="E54" s="23"/>
      <c r="F54" s="23"/>
      <c r="G54" s="23"/>
      <c r="H54" s="23"/>
      <c r="I54" s="23"/>
      <c r="J54" s="170"/>
      <c r="K54" s="220"/>
    </row>
    <row r="55" spans="1:12" ht="15.75">
      <c r="A55" s="357">
        <v>4.13</v>
      </c>
      <c r="B55" s="352" t="s">
        <v>127</v>
      </c>
      <c r="C55" s="166" t="s">
        <v>33</v>
      </c>
      <c r="D55" s="23"/>
      <c r="E55" s="23"/>
      <c r="F55" s="23"/>
      <c r="G55" s="23"/>
      <c r="H55" s="23"/>
      <c r="I55" s="23">
        <f>I51</f>
        <v>236</v>
      </c>
      <c r="J55" s="170"/>
      <c r="K55" s="220">
        <f>I55*J55</f>
        <v>0</v>
      </c>
    </row>
    <row r="56" spans="1:12">
      <c r="A56" s="357"/>
      <c r="B56" s="352"/>
      <c r="C56" s="166"/>
      <c r="D56" s="23"/>
      <c r="E56" s="23"/>
      <c r="F56" s="23"/>
      <c r="G56" s="23"/>
      <c r="H56" s="23"/>
      <c r="I56" s="23"/>
      <c r="J56" s="170"/>
      <c r="K56" s="220"/>
    </row>
    <row r="57" spans="1:12" ht="25.5">
      <c r="A57" s="357">
        <v>4.1399999999999997</v>
      </c>
      <c r="B57" s="352" t="s">
        <v>347</v>
      </c>
      <c r="C57" s="166" t="s">
        <v>33</v>
      </c>
      <c r="D57" s="23"/>
      <c r="E57" s="23"/>
      <c r="F57" s="23"/>
      <c r="G57" s="23"/>
      <c r="H57" s="23"/>
      <c r="I57" s="23">
        <f>I51</f>
        <v>236</v>
      </c>
      <c r="J57" s="170"/>
      <c r="K57" s="220">
        <f>I57*J57</f>
        <v>0</v>
      </c>
      <c r="L57" s="398"/>
    </row>
    <row r="58" spans="1:12">
      <c r="A58" s="171"/>
      <c r="B58" s="275"/>
      <c r="C58" s="172"/>
      <c r="D58" s="229"/>
      <c r="E58" s="229"/>
      <c r="F58" s="229"/>
      <c r="G58" s="229"/>
      <c r="H58" s="229"/>
      <c r="I58" s="145"/>
      <c r="J58" s="150"/>
      <c r="K58" s="173"/>
    </row>
    <row r="59" spans="1:12" s="255" customFormat="1" ht="15">
      <c r="A59" s="420" t="s">
        <v>85</v>
      </c>
      <c r="B59" s="421"/>
      <c r="C59" s="421"/>
      <c r="D59" s="421"/>
      <c r="E59" s="421"/>
      <c r="F59" s="421"/>
      <c r="G59" s="421"/>
      <c r="H59" s="421"/>
      <c r="I59" s="421"/>
      <c r="J59" s="422"/>
      <c r="K59" s="254">
        <f>SUM(K46:K58)</f>
        <v>0</v>
      </c>
    </row>
    <row r="60" spans="1:12" s="181" customFormat="1">
      <c r="A60" s="256"/>
      <c r="B60" s="257"/>
      <c r="C60" s="172"/>
      <c r="D60" s="142"/>
      <c r="E60" s="142"/>
      <c r="F60" s="142"/>
      <c r="G60" s="142"/>
      <c r="H60" s="142"/>
      <c r="I60" s="172"/>
      <c r="J60" s="150"/>
      <c r="K60" s="173"/>
    </row>
    <row r="61" spans="1:12">
      <c r="A61" s="325">
        <v>5</v>
      </c>
      <c r="B61" s="355" t="s">
        <v>94</v>
      </c>
      <c r="C61" s="313"/>
      <c r="D61" s="8"/>
      <c r="E61" s="8"/>
      <c r="F61" s="8"/>
      <c r="G61" s="8"/>
      <c r="H61" s="8"/>
      <c r="I61" s="8"/>
      <c r="J61" s="220"/>
      <c r="K61" s="220"/>
    </row>
    <row r="62" spans="1:12">
      <c r="A62" s="325"/>
      <c r="B62" s="355"/>
      <c r="C62" s="166"/>
      <c r="D62" s="23"/>
      <c r="E62" s="23"/>
      <c r="F62" s="23"/>
      <c r="G62" s="23"/>
      <c r="H62" s="23"/>
      <c r="I62" s="23"/>
      <c r="J62" s="354"/>
      <c r="K62" s="220"/>
    </row>
    <row r="63" spans="1:12" ht="76.5">
      <c r="A63" s="357">
        <v>5.0999999999999996</v>
      </c>
      <c r="B63" s="139" t="s">
        <v>291</v>
      </c>
      <c r="C63" s="166" t="s">
        <v>180</v>
      </c>
      <c r="D63" s="23"/>
      <c r="E63" s="23"/>
      <c r="F63" s="23"/>
      <c r="G63" s="23"/>
      <c r="H63" s="23"/>
      <c r="I63" s="23" t="s">
        <v>104</v>
      </c>
      <c r="J63" s="354"/>
      <c r="K63" s="220">
        <f>J63</f>
        <v>0</v>
      </c>
    </row>
    <row r="64" spans="1:12">
      <c r="A64" s="399"/>
      <c r="B64" s="193"/>
      <c r="C64" s="313"/>
      <c r="D64" s="8"/>
      <c r="E64" s="8"/>
      <c r="F64" s="8"/>
      <c r="G64" s="8"/>
      <c r="H64" s="8"/>
      <c r="I64" s="8"/>
      <c r="J64" s="220"/>
      <c r="K64" s="220"/>
    </row>
    <row r="65" spans="1:13" s="255" customFormat="1" ht="15">
      <c r="A65" s="420" t="s">
        <v>86</v>
      </c>
      <c r="B65" s="421"/>
      <c r="C65" s="421"/>
      <c r="D65" s="421"/>
      <c r="E65" s="421"/>
      <c r="F65" s="421"/>
      <c r="G65" s="421"/>
      <c r="H65" s="421"/>
      <c r="I65" s="421"/>
      <c r="J65" s="422"/>
      <c r="K65" s="254">
        <f>SUM(K61:K64)</f>
        <v>0</v>
      </c>
    </row>
    <row r="66" spans="1:13">
      <c r="A66" s="400"/>
      <c r="B66" s="193"/>
      <c r="C66" s="329"/>
      <c r="D66" s="329"/>
      <c r="E66" s="329"/>
      <c r="F66" s="329"/>
      <c r="G66" s="329"/>
      <c r="H66" s="329"/>
      <c r="I66" s="329"/>
      <c r="J66" s="354"/>
      <c r="K66" s="220"/>
    </row>
    <row r="67" spans="1:13">
      <c r="A67" s="325">
        <v>6</v>
      </c>
      <c r="B67" s="355" t="s">
        <v>148</v>
      </c>
      <c r="C67" s="313"/>
      <c r="D67" s="8"/>
      <c r="E67" s="8"/>
      <c r="F67" s="8"/>
      <c r="G67" s="8"/>
      <c r="H67" s="8"/>
      <c r="I67" s="8"/>
      <c r="J67" s="220"/>
      <c r="K67" s="220"/>
    </row>
    <row r="68" spans="1:13">
      <c r="A68" s="400"/>
      <c r="B68" s="356"/>
      <c r="C68" s="329"/>
      <c r="D68" s="195"/>
      <c r="E68" s="195"/>
      <c r="F68" s="195"/>
      <c r="G68" s="195"/>
      <c r="H68" s="195"/>
      <c r="I68" s="195"/>
      <c r="J68" s="354"/>
      <c r="K68" s="220"/>
    </row>
    <row r="69" spans="1:13" ht="25.5">
      <c r="A69" s="357">
        <v>6.1</v>
      </c>
      <c r="B69" s="139" t="s">
        <v>170</v>
      </c>
      <c r="C69" s="313" t="s">
        <v>9</v>
      </c>
      <c r="D69" s="8"/>
      <c r="E69" s="8"/>
      <c r="F69" s="8"/>
      <c r="G69" s="8"/>
      <c r="H69" s="8"/>
      <c r="I69" s="313">
        <v>1</v>
      </c>
      <c r="J69" s="354"/>
      <c r="K69" s="220">
        <f>I69*J69</f>
        <v>0</v>
      </c>
    </row>
    <row r="70" spans="1:13">
      <c r="A70" s="357"/>
      <c r="B70" s="357"/>
      <c r="C70" s="329"/>
      <c r="D70" s="195"/>
      <c r="E70" s="195"/>
      <c r="F70" s="195"/>
      <c r="G70" s="195"/>
      <c r="H70" s="195"/>
      <c r="I70" s="329"/>
      <c r="J70" s="354"/>
      <c r="K70" s="220"/>
    </row>
    <row r="71" spans="1:13" s="255" customFormat="1" ht="15">
      <c r="A71" s="420" t="s">
        <v>87</v>
      </c>
      <c r="B71" s="421"/>
      <c r="C71" s="421"/>
      <c r="D71" s="421"/>
      <c r="E71" s="421"/>
      <c r="F71" s="421"/>
      <c r="G71" s="421"/>
      <c r="H71" s="421"/>
      <c r="I71" s="421"/>
      <c r="J71" s="422"/>
      <c r="K71" s="254">
        <f>SUM(K66:K70)</f>
        <v>0</v>
      </c>
    </row>
    <row r="72" spans="1:13" s="181" customFormat="1" ht="15" customHeight="1">
      <c r="A72" s="428"/>
      <c r="B72" s="429"/>
      <c r="C72" s="429"/>
      <c r="D72" s="429"/>
      <c r="E72" s="429"/>
      <c r="F72" s="429"/>
      <c r="G72" s="429"/>
      <c r="H72" s="429"/>
      <c r="I72" s="429"/>
      <c r="J72" s="429"/>
      <c r="K72" s="430"/>
      <c r="M72" s="181" t="s">
        <v>50</v>
      </c>
    </row>
    <row r="73" spans="1:13" ht="14.25" customHeight="1">
      <c r="A73" s="427" t="s">
        <v>88</v>
      </c>
      <c r="B73" s="427"/>
      <c r="C73" s="427"/>
      <c r="D73" s="427"/>
      <c r="E73" s="427"/>
      <c r="F73" s="427"/>
      <c r="G73" s="427"/>
      <c r="H73" s="427"/>
      <c r="I73" s="427"/>
      <c r="J73" s="427"/>
      <c r="K73" s="401">
        <f>K71+K65+K59+K45+K37+K29</f>
        <v>0</v>
      </c>
    </row>
    <row r="74" spans="1:13" ht="57" customHeight="1">
      <c r="A74" s="426" t="s">
        <v>163</v>
      </c>
      <c r="B74" s="426"/>
      <c r="C74" s="426"/>
      <c r="D74" s="426"/>
      <c r="E74" s="426"/>
      <c r="F74" s="426"/>
      <c r="G74" s="426"/>
      <c r="H74" s="426"/>
      <c r="I74" s="426"/>
      <c r="J74" s="426"/>
      <c r="K74" s="426"/>
    </row>
  </sheetData>
  <mergeCells count="12">
    <mergeCell ref="A1:I1"/>
    <mergeCell ref="A2:K2"/>
    <mergeCell ref="D3:H3"/>
    <mergeCell ref="A74:K74"/>
    <mergeCell ref="A73:J73"/>
    <mergeCell ref="A37:J37"/>
    <mergeCell ref="A59:J59"/>
    <mergeCell ref="A45:J45"/>
    <mergeCell ref="A65:J65"/>
    <mergeCell ref="A72:K72"/>
    <mergeCell ref="A71:J71"/>
    <mergeCell ref="A29:J29"/>
  </mergeCells>
  <pageMargins left="0.7" right="0.7" top="0.75" bottom="0.75" header="0.3" footer="0.3"/>
  <pageSetup scale="75"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29"/>
  <sheetViews>
    <sheetView zoomScaleNormal="100" workbookViewId="0">
      <selection sqref="A1:B1"/>
    </sheetView>
  </sheetViews>
  <sheetFormatPr defaultColWidth="9.140625" defaultRowHeight="15"/>
  <cols>
    <col min="1" max="1" width="12.7109375" customWidth="1"/>
    <col min="2" max="2" width="69.140625" customWidth="1"/>
    <col min="3" max="3" width="21.7109375" style="25" customWidth="1"/>
    <col min="4" max="4" width="4.140625" customWidth="1"/>
    <col min="5" max="5" width="12.7109375" hidden="1" customWidth="1"/>
    <col min="6" max="6" width="57.7109375" hidden="1" customWidth="1"/>
    <col min="7" max="7" width="22.7109375" style="24" hidden="1" customWidth="1"/>
    <col min="8" max="9" width="9.140625" style="1"/>
  </cols>
  <sheetData>
    <row r="1" spans="1:12" ht="50.1" customHeight="1" thickBot="1">
      <c r="A1" s="444" t="s">
        <v>80</v>
      </c>
      <c r="B1" s="445"/>
      <c r="C1" s="137"/>
      <c r="E1" t="s">
        <v>55</v>
      </c>
      <c r="H1" s="16"/>
      <c r="I1" s="16"/>
      <c r="J1" s="16"/>
      <c r="K1" s="16"/>
      <c r="L1" s="16"/>
    </row>
    <row r="2" spans="1:12" ht="16.5" customHeight="1">
      <c r="A2" s="450" t="s">
        <v>13</v>
      </c>
      <c r="B2" s="452" t="s">
        <v>14</v>
      </c>
      <c r="C2" s="446" t="s">
        <v>82</v>
      </c>
      <c r="E2" s="458" t="s">
        <v>13</v>
      </c>
      <c r="F2" s="460" t="s">
        <v>14</v>
      </c>
      <c r="G2" s="57" t="s">
        <v>26</v>
      </c>
      <c r="H2" s="16"/>
      <c r="I2" s="16"/>
      <c r="J2" s="16"/>
      <c r="K2" s="16"/>
      <c r="L2" s="16"/>
    </row>
    <row r="3" spans="1:12" ht="16.5" customHeight="1" thickBot="1">
      <c r="A3" s="451"/>
      <c r="B3" s="453"/>
      <c r="C3" s="447"/>
      <c r="E3" s="459"/>
      <c r="F3" s="461"/>
      <c r="G3" s="58" t="s">
        <v>15</v>
      </c>
      <c r="H3" s="16"/>
      <c r="I3" s="16"/>
      <c r="J3" s="16"/>
      <c r="K3" s="16"/>
      <c r="L3" s="16"/>
    </row>
    <row r="4" spans="1:12" ht="15.75">
      <c r="A4" s="128"/>
      <c r="B4" s="138"/>
      <c r="C4" s="129"/>
      <c r="E4" s="27"/>
      <c r="F4" s="28"/>
      <c r="G4" s="59"/>
      <c r="H4" s="16"/>
      <c r="I4" s="16"/>
      <c r="J4" s="16"/>
      <c r="K4" s="16"/>
      <c r="L4" s="16"/>
    </row>
    <row r="5" spans="1:12" s="1" customFormat="1" ht="15.75">
      <c r="A5" s="130" t="s">
        <v>16</v>
      </c>
      <c r="B5" s="138" t="s">
        <v>387</v>
      </c>
      <c r="C5" s="129"/>
      <c r="E5" s="27"/>
      <c r="F5" s="138"/>
      <c r="G5" s="59"/>
      <c r="H5" s="16"/>
      <c r="I5" s="16"/>
      <c r="J5" s="16"/>
      <c r="K5" s="16"/>
      <c r="L5" s="16"/>
    </row>
    <row r="6" spans="1:12" s="1" customFormat="1" ht="15.75">
      <c r="A6" s="132"/>
      <c r="B6" s="138"/>
      <c r="C6" s="129"/>
      <c r="E6" s="27"/>
      <c r="F6" s="138"/>
      <c r="G6" s="59"/>
      <c r="H6" s="16"/>
      <c r="I6" s="16"/>
      <c r="J6" s="16"/>
      <c r="K6" s="16"/>
      <c r="L6" s="16"/>
    </row>
    <row r="7" spans="1:12" ht="15.75">
      <c r="A7" s="133" t="s">
        <v>19</v>
      </c>
      <c r="B7" s="12" t="s">
        <v>318</v>
      </c>
      <c r="C7" s="131"/>
      <c r="E7" s="26" t="s">
        <v>16</v>
      </c>
      <c r="F7" s="12" t="s">
        <v>54</v>
      </c>
      <c r="G7" s="60">
        <v>2264839.6356279999</v>
      </c>
      <c r="H7" s="16"/>
      <c r="I7" s="16"/>
      <c r="J7" s="16"/>
      <c r="K7" s="16"/>
      <c r="L7" s="16"/>
    </row>
    <row r="8" spans="1:12" ht="15.75">
      <c r="A8" s="132"/>
      <c r="B8" s="30"/>
      <c r="C8" s="131"/>
      <c r="E8" s="29"/>
      <c r="F8" s="30"/>
      <c r="G8" s="61"/>
      <c r="H8" s="16"/>
      <c r="I8" s="16"/>
      <c r="J8" s="16"/>
      <c r="K8" s="16"/>
      <c r="L8" s="16"/>
    </row>
    <row r="9" spans="1:12" s="65" customFormat="1" ht="15.75">
      <c r="A9" s="130" t="s">
        <v>21</v>
      </c>
      <c r="B9" s="12" t="s">
        <v>346</v>
      </c>
      <c r="C9" s="134"/>
      <c r="E9" s="66" t="s">
        <v>21</v>
      </c>
      <c r="F9" s="12" t="s">
        <v>20</v>
      </c>
      <c r="G9" s="67">
        <v>1580816.6597200003</v>
      </c>
      <c r="H9" s="68"/>
      <c r="I9" s="68"/>
      <c r="J9" s="68"/>
      <c r="K9" s="68"/>
      <c r="L9" s="68"/>
    </row>
    <row r="10" spans="1:12" ht="15.75">
      <c r="A10" s="132"/>
      <c r="B10" s="30"/>
      <c r="C10" s="131"/>
      <c r="E10" s="29"/>
      <c r="F10" s="30"/>
      <c r="G10" s="61"/>
      <c r="H10" s="16"/>
      <c r="I10" s="16"/>
      <c r="J10" s="16"/>
      <c r="K10" s="16"/>
      <c r="L10" s="16"/>
    </row>
    <row r="11" spans="1:12" ht="15.75" customHeight="1">
      <c r="A11" s="130" t="s">
        <v>17</v>
      </c>
      <c r="B11" s="12" t="s">
        <v>20</v>
      </c>
      <c r="C11" s="131"/>
      <c r="E11" s="26" t="s">
        <v>17</v>
      </c>
      <c r="F11" s="12" t="s">
        <v>22</v>
      </c>
      <c r="G11" s="60">
        <v>784175.41887499997</v>
      </c>
      <c r="H11" s="16"/>
      <c r="I11" s="16"/>
      <c r="J11" s="16"/>
      <c r="K11" s="16"/>
      <c r="L11" s="16"/>
    </row>
    <row r="12" spans="1:12" ht="15.75">
      <c r="A12" s="130"/>
      <c r="B12" s="12"/>
      <c r="C12" s="131"/>
      <c r="E12" s="29"/>
      <c r="F12" s="12"/>
      <c r="G12" s="60"/>
      <c r="H12" s="16"/>
      <c r="I12" s="16"/>
      <c r="J12" s="16"/>
      <c r="K12" s="16"/>
      <c r="L12" s="16"/>
    </row>
    <row r="13" spans="1:12" s="1" customFormat="1" ht="15.75" customHeight="1">
      <c r="A13" s="130" t="s">
        <v>18</v>
      </c>
      <c r="B13" s="12" t="s">
        <v>241</v>
      </c>
      <c r="C13" s="131"/>
      <c r="E13" s="26"/>
      <c r="F13" s="12"/>
      <c r="G13" s="60"/>
      <c r="H13" s="16"/>
      <c r="I13" s="16"/>
      <c r="J13" s="16"/>
      <c r="K13" s="16"/>
      <c r="L13" s="16"/>
    </row>
    <row r="14" spans="1:12" ht="15.75">
      <c r="B14" s="30"/>
      <c r="C14" s="131"/>
      <c r="E14" s="29"/>
      <c r="F14" s="12"/>
      <c r="G14" s="60"/>
      <c r="H14" s="16"/>
      <c r="I14" s="16"/>
      <c r="J14" s="16"/>
      <c r="K14" s="16"/>
      <c r="L14" s="16"/>
    </row>
    <row r="15" spans="1:12" s="1" customFormat="1" ht="15.75">
      <c r="A15" s="130" t="s">
        <v>23</v>
      </c>
      <c r="B15" s="12" t="s">
        <v>373</v>
      </c>
      <c r="C15" s="131"/>
      <c r="E15" s="26" t="s">
        <v>25</v>
      </c>
      <c r="F15" s="12" t="s">
        <v>24</v>
      </c>
      <c r="G15" s="60">
        <v>2455143.5929999994</v>
      </c>
      <c r="H15" s="16"/>
      <c r="I15" s="16"/>
      <c r="J15" s="16"/>
      <c r="K15" s="16"/>
      <c r="L15" s="16"/>
    </row>
    <row r="16" spans="1:12" ht="15.75">
      <c r="B16" s="12"/>
      <c r="C16" s="131"/>
      <c r="E16" s="26"/>
      <c r="F16" s="12"/>
      <c r="G16" s="60"/>
      <c r="H16" s="16"/>
      <c r="I16" s="16"/>
      <c r="J16" s="16"/>
      <c r="K16" s="16"/>
      <c r="L16" s="16"/>
    </row>
    <row r="17" spans="1:12" ht="15.75">
      <c r="A17" s="130" t="s">
        <v>25</v>
      </c>
      <c r="B17" s="12" t="s">
        <v>256</v>
      </c>
      <c r="C17" s="131"/>
      <c r="E17" s="26" t="s">
        <v>53</v>
      </c>
      <c r="F17" s="12" t="s">
        <v>27</v>
      </c>
      <c r="G17" s="60">
        <v>3745200</v>
      </c>
      <c r="H17" s="16"/>
      <c r="I17" s="16"/>
      <c r="J17" s="16"/>
      <c r="K17" s="16"/>
      <c r="L17" s="16"/>
    </row>
    <row r="18" spans="1:12" ht="16.5" thickBot="1">
      <c r="A18" s="135"/>
      <c r="B18" s="32"/>
      <c r="C18" s="136"/>
      <c r="E18" s="31"/>
      <c r="F18" s="32"/>
      <c r="G18" s="62"/>
      <c r="H18" s="16"/>
      <c r="I18" s="16"/>
      <c r="J18" s="16"/>
      <c r="K18" s="16"/>
      <c r="L18" s="16"/>
    </row>
    <row r="19" spans="1:12" ht="16.5" customHeight="1" thickBot="1">
      <c r="A19" s="448" t="s">
        <v>374</v>
      </c>
      <c r="B19" s="449"/>
      <c r="C19" s="235"/>
      <c r="E19" s="462" t="s">
        <v>28</v>
      </c>
      <c r="F19" s="463"/>
      <c r="G19" s="63">
        <v>14323225.051442999</v>
      </c>
      <c r="H19" s="16"/>
      <c r="I19" s="16"/>
      <c r="J19" s="16"/>
      <c r="K19" s="16"/>
      <c r="L19" s="16"/>
    </row>
    <row r="20" spans="1:12">
      <c r="A20" s="454" t="s">
        <v>355</v>
      </c>
      <c r="B20" s="455"/>
      <c r="C20" s="236"/>
      <c r="E20" s="1"/>
      <c r="F20" s="1"/>
      <c r="H20" s="16"/>
      <c r="I20" s="16"/>
      <c r="J20" s="16"/>
      <c r="K20" s="16"/>
      <c r="L20" s="16"/>
    </row>
    <row r="21" spans="1:12" ht="16.5" thickBot="1">
      <c r="A21" s="456" t="s">
        <v>375</v>
      </c>
      <c r="B21" s="457"/>
      <c r="C21" s="237"/>
      <c r="E21" s="1"/>
      <c r="F21" s="1"/>
      <c r="H21" s="16"/>
      <c r="I21" s="16"/>
      <c r="J21" s="16"/>
      <c r="K21" s="16"/>
      <c r="L21" s="16"/>
    </row>
    <row r="22" spans="1:12" ht="15.75" thickTop="1"/>
    <row r="26" spans="1:12">
      <c r="A26" s="1"/>
      <c r="B26" s="1"/>
      <c r="D26" s="1"/>
      <c r="E26" s="1"/>
      <c r="F26" s="1"/>
    </row>
    <row r="27" spans="1:12">
      <c r="A27" s="1"/>
      <c r="B27" s="1"/>
      <c r="D27" s="1"/>
      <c r="E27" s="1"/>
      <c r="F27" s="1"/>
    </row>
    <row r="28" spans="1:12">
      <c r="A28" s="1"/>
      <c r="B28" s="1"/>
      <c r="D28" s="1"/>
      <c r="E28" s="1"/>
      <c r="F28" s="1"/>
    </row>
    <row r="29" spans="1:12">
      <c r="A29" s="1"/>
      <c r="B29" s="1"/>
      <c r="D29" s="1"/>
      <c r="E29" s="1"/>
      <c r="F29" s="1"/>
    </row>
  </sheetData>
  <mergeCells count="10">
    <mergeCell ref="A20:B20"/>
    <mergeCell ref="A21:B21"/>
    <mergeCell ref="E2:E3"/>
    <mergeCell ref="F2:F3"/>
    <mergeCell ref="E19:F19"/>
    <mergeCell ref="A1:B1"/>
    <mergeCell ref="C2:C3"/>
    <mergeCell ref="A19:B19"/>
    <mergeCell ref="A2:A3"/>
    <mergeCell ref="B2:B3"/>
  </mergeCell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Bill 1 Preliminary &amp; General</vt:lpstr>
      <vt:lpstr>Bill 2 RBBT-SDB</vt:lpstr>
      <vt:lpstr>Bill 3 AR</vt:lpstr>
      <vt:lpstr>Bill 4 VFCW </vt:lpstr>
      <vt:lpstr>Bill 5 SWI</vt:lpstr>
      <vt:lpstr>Bill 6 OS</vt:lpstr>
      <vt:lpstr>Bill 7 Site &amp; AW</vt:lpstr>
      <vt:lpstr>SUMMARY</vt:lpstr>
      <vt:lpstr>'Bill 1 Preliminary &amp; General'!Print_Area</vt:lpstr>
      <vt:lpstr>'Bill 2 RBBT-SDB'!Print_Area</vt:lpstr>
      <vt:lpstr>'Bill 3 AR'!Print_Area</vt:lpstr>
      <vt:lpstr>'Bill 4 VFCW '!Print_Area</vt:lpstr>
      <vt:lpstr>'Bill 5 SWI'!Print_Area</vt:lpstr>
      <vt:lpstr>'Bill 6 OS'!Print_Area</vt:lpstr>
      <vt:lpstr>'Bill 7 Site &amp; AW'!Print_Area</vt:lpstr>
      <vt:lpstr>SUMMARY!Print_Area</vt:lpstr>
      <vt:lpstr>'Bill 1 Preliminary &amp; General'!Print_Titles</vt:lpstr>
      <vt:lpstr>'Bill 2 RBBT-SDB'!Print_Titles</vt:lpstr>
      <vt:lpstr>'Bill 3 AR'!Print_Titles</vt:lpstr>
      <vt:lpstr>'Bill 4 VFCW '!Print_Titles</vt:lpstr>
      <vt:lpstr>'Bill 5 SWI'!Print_Titles</vt:lpstr>
      <vt:lpstr>'Bill 6 OS'!Print_Titles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2014-08-29T10:45:58Z</dcterms:created>
  <dcterms:modified xsi:type="dcterms:W3CDTF">2018-07-11T13:06:15Z</dcterms:modified>
</cp:coreProperties>
</file>